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98" firstSheet="6" activeTab="6"/>
  </bookViews>
  <sheets>
    <sheet name="再担保费-子璇原表" sheetId="5" state="hidden" r:id="rId1"/>
    <sheet name="Sheet1" sheetId="6" state="hidden" r:id="rId2"/>
    <sheet name="再担保费-修改表格-202208" sheetId="7" state="hidden" r:id="rId3"/>
    <sheet name="常规业务透视表" sheetId="11" state="hidden" r:id="rId4"/>
    <sheet name="批量业务透视表" sheetId="12" state="hidden" r:id="rId5"/>
    <sheet name="再担保费-4季度-20230201" sheetId="8" state="hidden" r:id="rId6"/>
    <sheet name="1-6月再担保费汇总" sheetId="21" r:id="rId7"/>
  </sheets>
  <definedNames>
    <definedName name="_xlnm._FilterDatabase" localSheetId="0" hidden="1">'再担保费-子璇原表'!$A$4:$X$63</definedName>
    <definedName name="_xlnm._FilterDatabase" localSheetId="1" hidden="1">Sheet1!$A$1:$I$52</definedName>
    <definedName name="_xlnm._FilterDatabase" localSheetId="2" hidden="1">'再担保费-修改表格-202208'!$A$4:$G$63</definedName>
    <definedName name="_xlnm._FilterDatabase" localSheetId="5" hidden="1">'再担保费-4季度-20230201'!$A$4:$K$66</definedName>
    <definedName name="_xlnm._FilterDatabase" localSheetId="6" hidden="1">'1-6月再担保费汇总'!$A$4:$K$64</definedName>
    <definedName name="_xlnm.Print_Area" localSheetId="6">'1-6月再担保费汇总'!$A$1:$K$62</definedName>
    <definedName name="_xlnm.Print_Titles" localSheetId="5">'再担保费-4季度-20230201'!$3:$4</definedName>
    <definedName name="_xlnm.Print_Titles" localSheetId="2">'再担保费-修改表格-202208'!$3:$4</definedName>
    <definedName name="_xlnm.Print_Titles" localSheetId="0">'再担保费-子璇原表'!$3:$4</definedName>
    <definedName name="_xlnm.Print_Titles" localSheetId="6">'1-6月再担保费汇总'!$4:$5</definedName>
  </definedNames>
  <calcPr calcId="144525"/>
  <pivotCaches>
    <pivotCache cacheId="0" r:id="rId8"/>
    <pivotCache cacheId="1" r:id="rId9"/>
    <pivotCache cacheId="2" r:id="rId10"/>
  </pivotCaches>
</workbook>
</file>

<file path=xl/sharedStrings.xml><?xml version="1.0" encoding="utf-8"?>
<sst xmlns="http://schemas.openxmlformats.org/spreadsheetml/2006/main" count="496" uniqueCount="110">
  <si>
    <t xml:space="preserve">2022年1-4月再担保费补贴汇总表                                                                        </t>
  </si>
  <si>
    <t>序号</t>
  </si>
  <si>
    <t xml:space="preserve">  机 构</t>
  </si>
  <si>
    <t>常规业务(含地方版“见贷即保”业务)</t>
  </si>
  <si>
    <t>拟申报减免再担保费合计
（万元）</t>
  </si>
  <si>
    <t>500万元（含）以下累计金额（万元）</t>
  </si>
  <si>
    <t>减免再担保费（万元）</t>
  </si>
  <si>
    <t>500万元-1000万元累计金额（万元）</t>
  </si>
  <si>
    <t>湖南省中小企业融资担保有限公司</t>
  </si>
  <si>
    <t>常德财鑫融资担保有限公司</t>
  </si>
  <si>
    <t>常德财科融资担保有限公司</t>
  </si>
  <si>
    <t>岳阳市融资担保有限责任公司</t>
  </si>
  <si>
    <t>岳阳市小微融资担保有限责任公司</t>
  </si>
  <si>
    <t>湘潭企业融资担保有限公司</t>
  </si>
  <si>
    <t>湘潭中小微融资担保有限公司</t>
  </si>
  <si>
    <t>娄底市兴娄融资担保有限公司</t>
  </si>
  <si>
    <t>永州市潇湘融资担保有限公司</t>
  </si>
  <si>
    <t>益阳市融资担保有限责任公司</t>
  </si>
  <si>
    <t>邵阳市中小企业融资担保有限责任公司</t>
  </si>
  <si>
    <t>邵东市鼎成融资担保有限公司</t>
  </si>
  <si>
    <t>张家界市中小企业融资担保有限公司</t>
  </si>
  <si>
    <t>张家界市融资担保集团有限公司</t>
  </si>
  <si>
    <t>张家界经济发展融资担保有限公司</t>
  </si>
  <si>
    <t>株洲高科火炬融资担保有限公司</t>
  </si>
  <si>
    <t>长沙市望财融资担保有限公司</t>
  </si>
  <si>
    <t>湖南德诚融资担保有限公司</t>
  </si>
  <si>
    <t>浏阳市中小企业融资担保有限公司</t>
  </si>
  <si>
    <t>湖南金信融资担保有限责任公司</t>
  </si>
  <si>
    <t>浏阳市财信融资担保有限责任公司</t>
  </si>
  <si>
    <t>浏阳市财信融资担保有限公司</t>
  </si>
  <si>
    <t>湖南大农融资担保有限公司</t>
  </si>
  <si>
    <t>湖南省文化旅游融资担保有限公司</t>
  </si>
  <si>
    <t>常德市善德融资担保有限公司</t>
  </si>
  <si>
    <t>祁阳市融资担保有限公司</t>
  </si>
  <si>
    <t>祁阳县融资担保有限公司</t>
  </si>
  <si>
    <t>株洲丰叶融资担保有限责任公司</t>
  </si>
  <si>
    <t>衡阳市融资担保集团有限公司</t>
  </si>
  <si>
    <t>岳阳县中小企业融资担保有限公司</t>
  </si>
  <si>
    <t>湖南金玉融资担保有限公司</t>
  </si>
  <si>
    <t>桃源县惠民中小企业融资担保有限公司</t>
  </si>
  <si>
    <t>岳阳市融创融资担保有限公司</t>
  </si>
  <si>
    <t>耒阳市互惠投融资担保有限公司</t>
  </si>
  <si>
    <t>长沙经济技术开发区融资担保有限公司</t>
  </si>
  <si>
    <t>长沙经济开发区融资担保有限公司</t>
  </si>
  <si>
    <t>湘潭县莲乡融资担保有限公司</t>
  </si>
  <si>
    <t>长沙市长财融资担保有限公司</t>
  </si>
  <si>
    <t>长沙星城中小企业融资担保有限公司</t>
  </si>
  <si>
    <t>湖南众诺融资担保有限公司</t>
  </si>
  <si>
    <t>株洲市融资担保有限公司</t>
  </si>
  <si>
    <t>湖南联保融资担保集团有限公司</t>
  </si>
  <si>
    <t>宁远县中小微企业融资担保有限公司</t>
  </si>
  <si>
    <t>花垣县十八洞融资担保有限责任公司</t>
  </si>
  <si>
    <t>隆回县中小企业融资担保有限责任公司</t>
  </si>
  <si>
    <t>湖南省国信财富融资担保有限责任公司</t>
  </si>
  <si>
    <t>常德美源融资担保有限责任公司</t>
  </si>
  <si>
    <t>长沙市中水融资担保有限公司</t>
  </si>
  <si>
    <t>郴州市中小企业融资担保有限公司</t>
  </si>
  <si>
    <t>湖南省麓谷中小企业融资担保有限公司</t>
  </si>
  <si>
    <t>湖南常宁裕通融资担保有限公司</t>
  </si>
  <si>
    <t>瀚华融资担保股份有限公司湖南分公司</t>
  </si>
  <si>
    <t>怀化市财信融资担保有限责任公司</t>
  </si>
  <si>
    <t>蓝山县财信融资担保有限公司</t>
  </si>
  <si>
    <t>邵阳云山融资担保有限责任公司</t>
  </si>
  <si>
    <t>嘉禾嘉盛融资担保有限责任公司</t>
  </si>
  <si>
    <t>湘西融资担保有限责任公司</t>
  </si>
  <si>
    <t>永州市小微融资担保有限责任公司</t>
  </si>
  <si>
    <t>汨罗诚晟融资担保有限公司</t>
  </si>
  <si>
    <t>邵阳县中小企业融资担保有限责任公司</t>
  </si>
  <si>
    <t>合计</t>
  </si>
  <si>
    <t>500-</t>
  </si>
  <si>
    <t>求和项:主债权金额（万元）</t>
  </si>
  <si>
    <t>求和项:减免金额（按原费率）</t>
  </si>
  <si>
    <t>1000-</t>
  </si>
  <si>
    <t>总计</t>
  </si>
  <si>
    <t>直担机构名称</t>
  </si>
  <si>
    <t>湖南梅山融资担保有限责任公司</t>
  </si>
  <si>
    <t>湖南潭城融资担保集团有限公司</t>
  </si>
  <si>
    <t>(空白)</t>
  </si>
  <si>
    <t xml:space="preserve">2022年10-12月再担保费补贴汇总表                                                                        </t>
  </si>
  <si>
    <t>银担“总对总”批量担保业务</t>
  </si>
  <si>
    <t>常规业务拟申报减免再担保费合计（万元）</t>
  </si>
  <si>
    <t>500万元以上累计金额（万元）</t>
  </si>
  <si>
    <t>批量业务拟申报减免再担保费合计
（万元）</t>
  </si>
  <si>
    <t xml:space="preserve">湖南潭城融资担保集团有限公司 </t>
  </si>
  <si>
    <t>湖南省农业信贷融资担保有限公司</t>
  </si>
  <si>
    <t>备注：</t>
  </si>
  <si>
    <t>湖南省农业信贷融资担保有限公司为全年数据，其他机构为10-12月国担备案数据</t>
  </si>
  <si>
    <t>根据表格加减逻辑，高亮橘色的单元格修改了尾数</t>
  </si>
  <si>
    <t>22年四季度，湘潭企业融资担保有限公司更名为湖南潭城融资担保集团有限公司</t>
  </si>
  <si>
    <t>附件3</t>
  </si>
  <si>
    <t>2025年上半年再担保费补贴明细表</t>
  </si>
  <si>
    <t>单位：万元</t>
  </si>
  <si>
    <t>机 构</t>
  </si>
  <si>
    <t>500万元（含）以下融资担保业务</t>
  </si>
  <si>
    <t>500万元以上融资担保业务</t>
  </si>
  <si>
    <t>第三方机构核定再担保费补贴金额</t>
  </si>
  <si>
    <t>在保余额</t>
  </si>
  <si>
    <t>再担保公司申报补贴金额</t>
  </si>
  <si>
    <t>第三方机构核定补贴金额</t>
  </si>
  <si>
    <t>核减金额</t>
  </si>
  <si>
    <t>宁乡市和诚融资担保有限责任公司</t>
  </si>
  <si>
    <t>株洲金财惠科融资担保有限公司</t>
  </si>
  <si>
    <t>永州市科技融资担保有限公司</t>
  </si>
  <si>
    <t>江华华信融资担保有限公司</t>
  </si>
  <si>
    <t>洞口县中小企业融资担保有限责任公司</t>
  </si>
  <si>
    <t>湖南省科技融资担保有限公司</t>
  </si>
  <si>
    <t>邵阳市融资担保有限公司</t>
  </si>
  <si>
    <t>长沙市麓山融资担保有限公司</t>
  </si>
  <si>
    <t>湖南湘银融资担保有限公司</t>
  </si>
  <si>
    <t>备注：以上数据均保留至小数后两位。</t>
  </si>
</sst>
</file>

<file path=xl/styles.xml><?xml version="1.0" encoding="utf-8"?>
<styleSheet xmlns="http://schemas.openxmlformats.org/spreadsheetml/2006/main">
  <numFmts count="10">
    <numFmt numFmtId="176" formatCode="0.000_ "/>
    <numFmt numFmtId="177" formatCode="0.00;[Red]0.00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.00;[Red]0.00"/>
    <numFmt numFmtId="180" formatCode="0.00;[Red]0.00"/>
    <numFmt numFmtId="181" formatCode="0.00;[Red]0.00"/>
  </numFmts>
  <fonts count="4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1"/>
      <color theme="1"/>
      <name val="仿宋"/>
      <charset val="134"/>
    </font>
    <font>
      <b/>
      <sz val="36"/>
      <color theme="1"/>
      <name val="仿宋"/>
      <charset val="134"/>
    </font>
    <font>
      <sz val="20"/>
      <color theme="1"/>
      <name val="仿宋"/>
      <charset val="134"/>
    </font>
    <font>
      <sz val="26"/>
      <color theme="1"/>
      <name val="仿宋"/>
      <charset val="134"/>
    </font>
    <font>
      <b/>
      <sz val="20"/>
      <color theme="1"/>
      <name val="仿宋"/>
      <charset val="134"/>
    </font>
    <font>
      <sz val="18"/>
      <color theme="1"/>
      <name val="仿宋"/>
      <charset val="134"/>
    </font>
    <font>
      <sz val="18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b/>
      <sz val="48"/>
      <color rgb="FF000000"/>
      <name val="黑体"/>
      <charset val="134"/>
    </font>
    <font>
      <sz val="20"/>
      <name val="黑体"/>
      <charset val="134"/>
    </font>
    <font>
      <b/>
      <sz val="16"/>
      <name val="仿宋"/>
      <charset val="134"/>
    </font>
    <font>
      <sz val="20"/>
      <color rgb="FFFF0000"/>
      <name val="黑体"/>
      <charset val="134"/>
    </font>
    <font>
      <b/>
      <sz val="18"/>
      <name val="仿宋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30" fillId="11" borderId="10" applyNumberFormat="false" applyAlignment="false" applyProtection="false">
      <alignment vertical="center"/>
    </xf>
    <xf numFmtId="0" fontId="39" fillId="20" borderId="15" applyNumberFormat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4" fillId="0" borderId="13" applyNumberFormat="false" applyFill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36" fillId="0" borderId="14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0" fillId="25" borderId="16" applyNumberFormat="false" applyFon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43" fillId="26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44" fillId="29" borderId="0" applyNumberFormat="false" applyBorder="false" applyAlignment="false" applyProtection="false">
      <alignment vertical="center"/>
    </xf>
    <xf numFmtId="0" fontId="37" fillId="11" borderId="9" applyNumberForma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35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8" fillId="8" borderId="9" applyNumberFormat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</cellStyleXfs>
  <cellXfs count="68">
    <xf numFmtId="0" fontId="0" fillId="0" borderId="0" xfId="0"/>
    <xf numFmtId="0" fontId="1" fillId="0" borderId="0" xfId="0" applyFont="true" applyAlignment="true">
      <alignment horizontal="center"/>
    </xf>
    <xf numFmtId="0" fontId="2" fillId="0" borderId="0" xfId="0" applyFont="true" applyAlignment="true">
      <alignment horizontal="center"/>
    </xf>
    <xf numFmtId="0" fontId="0" fillId="0" borderId="0" xfId="0" applyAlignment="true">
      <alignment horizontal="center"/>
    </xf>
    <xf numFmtId="43" fontId="0" fillId="0" borderId="0" xfId="20" applyFont="true" applyAlignment="true">
      <alignment horizont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/>
    </xf>
    <xf numFmtId="43" fontId="4" fillId="0" borderId="0" xfId="20" applyFont="true" applyAlignment="true">
      <alignment horizont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43" fontId="8" fillId="0" borderId="2" xfId="2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43" fontId="8" fillId="0" borderId="2" xfId="2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/>
    </xf>
    <xf numFmtId="0" fontId="10" fillId="0" borderId="2" xfId="0" applyFont="true" applyBorder="true" applyAlignment="true">
      <alignment horizontal="center"/>
    </xf>
    <xf numFmtId="178" fontId="9" fillId="0" borderId="2" xfId="20" applyNumberFormat="true" applyFont="true" applyBorder="true" applyAlignment="true">
      <alignment horizontal="center"/>
    </xf>
    <xf numFmtId="0" fontId="11" fillId="0" borderId="4" xfId="0" applyFont="true" applyBorder="true" applyAlignment="true">
      <alignment horizontal="center"/>
    </xf>
    <xf numFmtId="0" fontId="11" fillId="0" borderId="5" xfId="0" applyFont="true" applyBorder="true" applyAlignment="true">
      <alignment horizontal="center"/>
    </xf>
    <xf numFmtId="0" fontId="9" fillId="0" borderId="0" xfId="0" applyFont="true" applyAlignment="true">
      <alignment horizontal="left"/>
    </xf>
    <xf numFmtId="0" fontId="7" fillId="0" borderId="0" xfId="0" applyFont="true" applyAlignment="true">
      <alignment horizontal="center"/>
    </xf>
    <xf numFmtId="178" fontId="9" fillId="0" borderId="2" xfId="20" applyNumberFormat="true" applyFont="true" applyFill="true" applyBorder="true" applyAlignment="true">
      <alignment horizontal="center"/>
    </xf>
    <xf numFmtId="0" fontId="12" fillId="0" borderId="0" xfId="0" applyFont="true" applyAlignment="true">
      <alignment horizontal="center"/>
    </xf>
    <xf numFmtId="0" fontId="8" fillId="0" borderId="0" xfId="0" applyFont="true" applyAlignment="true">
      <alignment horizontal="center" vertical="center"/>
    </xf>
    <xf numFmtId="43" fontId="8" fillId="0" borderId="1" xfId="20" applyFont="true" applyBorder="true" applyAlignment="true">
      <alignment horizontal="center" vertical="center" wrapText="true"/>
    </xf>
    <xf numFmtId="43" fontId="8" fillId="0" borderId="3" xfId="20" applyFont="true" applyBorder="true" applyAlignment="true">
      <alignment horizontal="center" vertical="center" wrapText="true"/>
    </xf>
    <xf numFmtId="0" fontId="13" fillId="0" borderId="0" xfId="0" applyFont="true"/>
    <xf numFmtId="0" fontId="14" fillId="0" borderId="4" xfId="0" applyFont="true" applyBorder="true" applyAlignment="true" applyProtection="true">
      <alignment horizontal="center" vertical="center" wrapText="true"/>
      <protection locked="false"/>
    </xf>
    <xf numFmtId="0" fontId="14" fillId="0" borderId="6" xfId="0" applyFont="true" applyBorder="true" applyAlignment="true" applyProtection="true">
      <alignment horizontal="center" vertical="center" wrapText="true"/>
      <protection locked="false"/>
    </xf>
    <xf numFmtId="0" fontId="8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15" fillId="0" borderId="2" xfId="0" applyFont="true" applyBorder="true" applyAlignment="true">
      <alignment horizontal="center" vertical="center" wrapText="true"/>
    </xf>
    <xf numFmtId="178" fontId="10" fillId="0" borderId="2" xfId="0" applyNumberFormat="true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 wrapText="true"/>
    </xf>
    <xf numFmtId="0" fontId="17" fillId="2" borderId="2" xfId="0" applyFont="true" applyFill="true" applyBorder="true" applyAlignment="true">
      <alignment horizontal="center" vertical="center" wrapText="true"/>
    </xf>
    <xf numFmtId="178" fontId="10" fillId="2" borderId="2" xfId="0" applyNumberFormat="true" applyFont="true" applyFill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/>
    </xf>
    <xf numFmtId="0" fontId="8" fillId="0" borderId="3" xfId="0" applyFont="true" applyBorder="true" applyAlignment="true">
      <alignment vertical="center" wrapText="true"/>
    </xf>
    <xf numFmtId="0" fontId="8" fillId="0" borderId="2" xfId="0" applyFont="true" applyBorder="true" applyAlignment="true">
      <alignment horizontal="center" vertical="center" wrapText="true"/>
    </xf>
    <xf numFmtId="178" fontId="18" fillId="0" borderId="2" xfId="0" applyNumberFormat="true" applyFont="true" applyBorder="true" applyAlignment="true">
      <alignment horizontal="center" vertical="center" wrapText="true"/>
    </xf>
    <xf numFmtId="178" fontId="18" fillId="3" borderId="2" xfId="0" applyNumberFormat="true" applyFont="true" applyFill="true" applyBorder="true" applyAlignment="true">
      <alignment horizontal="center" vertical="center" wrapText="true"/>
    </xf>
    <xf numFmtId="178" fontId="18" fillId="2" borderId="2" xfId="0" applyNumberFormat="true" applyFont="true" applyFill="true" applyBorder="true" applyAlignment="true">
      <alignment horizontal="center" vertical="center" wrapText="true"/>
    </xf>
    <xf numFmtId="0" fontId="14" fillId="0" borderId="5" xfId="0" applyFont="true" applyBorder="true" applyAlignment="true" applyProtection="true">
      <alignment horizontal="center" vertical="center" wrapText="true"/>
      <protection locked="false"/>
    </xf>
    <xf numFmtId="0" fontId="8" fillId="0" borderId="8" xfId="0" applyFont="true" applyBorder="true" applyAlignment="true">
      <alignment horizontal="center" vertical="center"/>
    </xf>
    <xf numFmtId="0" fontId="8" fillId="0" borderId="2" xfId="0" applyFont="true" applyBorder="true" applyAlignment="true">
      <alignment vertical="center" wrapText="true"/>
    </xf>
    <xf numFmtId="177" fontId="18" fillId="0" borderId="2" xfId="0" applyNumberFormat="true" applyFont="true" applyBorder="true" applyAlignment="true">
      <alignment horizontal="center" vertical="center"/>
    </xf>
    <xf numFmtId="178" fontId="10" fillId="4" borderId="2" xfId="0" applyNumberFormat="true" applyFont="true" applyFill="true" applyBorder="true" applyAlignment="true">
      <alignment horizontal="center" vertical="center" wrapText="true"/>
    </xf>
    <xf numFmtId="178" fontId="18" fillId="0" borderId="4" xfId="0" applyNumberFormat="true" applyFont="true" applyBorder="true" applyAlignment="true">
      <alignment horizontal="center" vertical="center" wrapText="true"/>
    </xf>
    <xf numFmtId="178" fontId="18" fillId="0" borderId="5" xfId="0" applyNumberFormat="true" applyFont="true" applyBorder="true" applyAlignment="true">
      <alignment horizontal="center" vertical="center" wrapText="true"/>
    </xf>
    <xf numFmtId="0" fontId="19" fillId="0" borderId="0" xfId="0" applyFont="true" applyAlignment="true">
      <alignment horizontal="center"/>
    </xf>
    <xf numFmtId="0" fontId="20" fillId="0" borderId="0" xfId="0" applyFont="true"/>
    <xf numFmtId="0" fontId="21" fillId="0" borderId="0" xfId="0" applyFont="true" applyAlignment="true">
      <alignment horizontal="center"/>
    </xf>
    <xf numFmtId="0" fontId="22" fillId="0" borderId="0" xfId="0" applyFont="true"/>
    <xf numFmtId="0" fontId="21" fillId="0" borderId="0" xfId="0" applyFont="true"/>
    <xf numFmtId="0" fontId="0" fillId="0" borderId="0" xfId="0" applyAlignment="true">
      <alignment vertical="center"/>
    </xf>
    <xf numFmtId="177" fontId="0" fillId="0" borderId="0" xfId="0" applyNumberFormat="true" applyAlignment="true">
      <alignment vertical="center"/>
    </xf>
    <xf numFmtId="0" fontId="0" fillId="0" borderId="2" xfId="0" applyBorder="true" applyAlignment="true">
      <alignment vertical="center"/>
    </xf>
    <xf numFmtId="0" fontId="14" fillId="0" borderId="2" xfId="0" applyFont="true" applyBorder="true" applyAlignment="true" applyProtection="true">
      <alignment horizontal="center" vertical="center" wrapText="true"/>
      <protection locked="false"/>
    </xf>
    <xf numFmtId="176" fontId="10" fillId="0" borderId="2" xfId="0" applyNumberFormat="true" applyFont="true" applyBorder="true" applyAlignment="true">
      <alignment horizontal="center" vertical="center" wrapText="true"/>
    </xf>
    <xf numFmtId="176" fontId="18" fillId="0" borderId="2" xfId="0" applyNumberFormat="true" applyFont="true" applyBorder="true" applyAlignment="true">
      <alignment horizontal="center" vertical="center" wrapText="true"/>
    </xf>
    <xf numFmtId="0" fontId="23" fillId="0" borderId="2" xfId="0" applyFont="true" applyBorder="true"/>
    <xf numFmtId="178" fontId="23" fillId="0" borderId="2" xfId="0" applyNumberFormat="true" applyFont="true" applyBorder="true"/>
    <xf numFmtId="0" fontId="0" fillId="0" borderId="2" xfId="0" applyBorder="true"/>
    <xf numFmtId="0" fontId="19" fillId="0" borderId="0" xfId="0" applyFont="true"/>
    <xf numFmtId="0" fontId="24" fillId="0" borderId="0" xfId="0" applyFont="true"/>
    <xf numFmtId="0" fontId="17" fillId="0" borderId="2" xfId="0" applyFont="true" applyBorder="true" applyAlignment="true">
      <alignment horizontal="center" vertical="center" wrapText="true"/>
    </xf>
    <xf numFmtId="0" fontId="25" fillId="0" borderId="2" xfId="0" applyFont="true" applyBorder="true"/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theme="4" tint="0.4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930.3989930556" refreshedBy="Administrator" recordCount="34">
  <cacheSource type="worksheet">
    <worksheetSource ref="A1:A1" sheet="再担保费-子璇原表"/>
  </cacheSource>
  <cacheFields count="73">
    <cacheField name="唯一业务编号" numFmtId="0">
      <sharedItems count="34">
        <s v="4301922111100010"/>
        <s v="4303222112800024"/>
        <s v="4301122111100077"/>
        <s v="4301122110700031"/>
        <s v="4301122111700086"/>
        <s v="4301122111800098"/>
        <s v="4306122113000001"/>
        <s v="4302122091600004"/>
        <s v="4306122092600001"/>
        <s v="4301122091600147"/>
        <s v="4301122091500193"/>
        <s v="4301122092900217"/>
        <s v="4301122092900218"/>
        <s v="4301122092900220"/>
        <s v="4301122090900184"/>
        <s v="4301122090600209"/>
        <s v="4301122102800001"/>
        <s v="4303222101400010"/>
        <s v="4303222102700014"/>
        <s v="4305322092310006"/>
        <s v="4305322083110006"/>
        <s v="4305322083110007"/>
        <s v="4305322083110008"/>
        <s v="4305322090910009"/>
        <s v="4305322092200003"/>
        <s v="4306122100900001"/>
        <s v="4306122101400001"/>
        <s v="4301122090500190"/>
        <s v="4301122092800234"/>
        <s v="4301122092900294"/>
        <s v="4301122091600207"/>
        <s v="4301122101900123"/>
        <s v="4301122103100162"/>
        <s v="4303222090100003"/>
      </sharedItems>
    </cacheField>
    <cacheField name="业务品种" numFmtId="0">
      <sharedItems count="1">
        <s v="总对总标准产品"/>
      </sharedItems>
    </cacheField>
    <cacheField name="业务类型" numFmtId="0">
      <sharedItems count="1">
        <s v="新增"/>
      </sharedItems>
    </cacheField>
    <cacheField name="直担机构名称" numFmtId="0">
      <sharedItems count="6">
        <s v="永州市潇湘融资担保有限公司"/>
        <s v="长沙市长财融资担保有限公司"/>
        <s v="湖南省中小企业融资担保有限公司"/>
        <s v="株洲市融资担保有限公司"/>
        <s v="张家界市中小企业融资担保有限公司"/>
        <s v="湘潭中小微融资担保有限公司"/>
      </sharedItems>
    </cacheField>
    <cacheField name="市级再担保机构名称" numFmtId="0">
      <sharedItems containsString="0" containsBlank="1" containsNonDate="0" count="1">
        <m/>
      </sharedItems>
    </cacheField>
    <cacheField name="省级再担保机构名称" numFmtId="0">
      <sharedItems count="1">
        <s v="湖南省融资再担保有限公司"/>
      </sharedItems>
    </cacheField>
    <cacheField name="债务人名称" numFmtId="0">
      <sharedItems count="33">
        <s v="永州市瑞祥锌材料有限公司"/>
        <s v="湖南艾米格智慧互联科技有限公司"/>
        <s v="湖南和康生态农业发展有限公司"/>
        <s v="新化县科建办公设备有限公司"/>
        <s v="株洲华星建造有限公司"/>
        <s v="湖南兵器新成机器有限公司"/>
        <s v="湖南绿斯达生物科技有限公司"/>
        <s v="张家界市新瑞生物饲料有限公司"/>
        <s v="株洲市悠移农业科技发展有限公司"/>
        <s v="株洲市新龙建筑有限责任公司"/>
        <s v="株洲明日硬质合金有限公司"/>
        <s v="株洲茂盛合科技有限公司"/>
        <s v="株洲市九洲传动科技有限公司"/>
        <s v="湖南中科存储科技有限公司"/>
        <s v="湖南湘皓建设工程有限公司"/>
        <s v="株洲三新包装技术有限公司"/>
        <s v="湖南艾硅特新材料有限公司"/>
        <s v="湖南方盛医药有限公司"/>
        <s v="湘能楚天电力科技有限公司"/>
        <s v="湘潭市雨湖区香海经贸商行"/>
        <s v="湘潭市雨湖区旺达槟榔厂"/>
        <s v="湘潭市雨湖区众邦槟榔厂"/>
        <s v="湘潭市雨湖区湘发槟榔厂"/>
        <s v="湘潭市雨湖区遇初槟榔厂"/>
        <s v="湘潭润耀商贸有限公司"/>
        <s v="湖南弥特精密机械有限公司"/>
        <s v="湖南金源新材料股份有限公司"/>
        <s v="湖南联科科技有限公司"/>
        <s v="溆浦穿岩山森林旅游有限公司"/>
        <s v="湖南长宇科技发展有限公司"/>
        <s v="桃江县新宇建材有限公司"/>
        <s v="益阳市金典粮食购销有限公司"/>
        <s v="湖南中车轨道交通设备有限责任公司"/>
      </sharedItems>
    </cacheField>
    <cacheField name="债务人类别" numFmtId="0">
      <sharedItems count="2">
        <s v="企业"/>
        <s v="个体工商户"/>
      </sharedItems>
    </cacheField>
    <cacheField name="债务人证件类型" numFmtId="0">
      <sharedItems count="1">
        <s v="统一社会信用代码"/>
      </sharedItems>
    </cacheField>
    <cacheField name="债务人证件号码" numFmtId="0">
      <sharedItems count="33">
        <s v="91431122796892998D"/>
        <s v="91430121MA4Q56RB3U"/>
        <s v="914309000538515119"/>
        <s v="91431322MA4PK1UL15"/>
        <s v="914302117558041897"/>
        <s v="91430200184304657B"/>
        <s v="91430211MA4QCNFYXN"/>
        <s v="91430821072646062J"/>
        <s v="914302115576249454"/>
        <s v="91430200694023177C"/>
        <s v="914302117483658784"/>
        <s v="91430204MA4Q39NC3K"/>
        <s v="91430200MA4L5FD98K"/>
        <s v="91430211MA4RYNAF38"/>
        <s v="91430200MA4LXG9A6Q"/>
        <s v="91430200C00545999M"/>
        <s v="91430223MA7BE1W023"/>
        <s v="91430100079183152D"/>
        <s v="91430111055805092F"/>
        <s v="92430302MA4NLJ4L9W"/>
        <s v="92430302MA4T3WGF9T"/>
        <s v="92430302MA4T3WGA8J"/>
        <s v="92430302MA4T941H6F"/>
        <s v="92430302MA4TAA4LXX"/>
        <s v="91430302MA7KREJY2Q"/>
        <s v="91430221MA4RK91T66"/>
        <s v="91430900748387639U"/>
        <s v="91430703MA4PRYL43T"/>
        <s v="91431224090472078U"/>
        <s v="914301246707674381"/>
        <s v="914309225576420278"/>
        <s v="914309006735783766"/>
        <s v="914301027968712732"/>
      </sharedItems>
    </cacheField>
    <cacheField name="债务人联系人姓名" numFmtId="0">
      <sharedItems containsBlank="1" count="16">
        <s v="邓天祥"/>
        <s v="余莉"/>
        <s v="彭星宇"/>
        <s v="邹石海"/>
        <m/>
        <s v="罗祖国"/>
        <s v="殷水安"/>
        <s v="傅桥"/>
        <s v="彭畅"/>
        <s v="刘小立"/>
        <s v="娄珂"/>
        <s v="陈国伟"/>
        <s v="王新华"/>
        <s v="程锦跃"/>
        <s v="朱栋梁"/>
        <s v="唐作君"/>
      </sharedItems>
    </cacheField>
    <cacheField name="债务人联系人联系方式" numFmtId="0">
      <sharedItems containsBlank="1" count="15">
        <s v="15907488333"/>
        <s v="17373694955"/>
        <s v="13487802973"/>
        <s v="13925178688"/>
        <m/>
        <s v="13974431380"/>
        <s v="13787110598"/>
        <s v="17711739336"/>
        <s v="13549749108"/>
        <s v="07367552777"/>
        <s v="18674578300"/>
        <s v="13707499158"/>
        <s v="13203682880"/>
        <s v="13873779468"/>
        <s v="13908451616"/>
      </sharedItems>
    </cacheField>
    <cacheField name="债务人经营主体" numFmtId="0">
      <sharedItems containsBlank="1" count="12">
        <m/>
        <s v="张家界市新瑞生物饲料有限公司"/>
        <s v="株洲市悠移农业科技发展有限公司"/>
        <s v="株洲市新龙建筑有限责任公司"/>
        <s v="株洲明日硬质合金有限公司"/>
        <s v="株洲茂盛合科技有限公司"/>
        <s v="株洲市九洲传动科技有限公司"/>
        <s v="湖南中科存储科技有限公司"/>
        <s v="湖南湘皓建设工程有限公司"/>
        <s v="株洲三新包装技术有限公司"/>
        <s v="湖南艾硅特新材料有限公司"/>
        <s v="湖南中车轨道交通设备有限责任公司"/>
      </sharedItems>
    </cacheField>
    <cacheField name="债务人经营主体统一社会信用代码" numFmtId="0">
      <sharedItems containsBlank="1" count="12">
        <m/>
        <s v="91430821072646062J"/>
        <s v="914302115576249454"/>
        <s v="91430200694023177C"/>
        <s v="914302117483658784"/>
        <s v="91430204MA4Q39NC3K"/>
        <s v="91430200MA4L5FD98K"/>
        <s v="91430211MA4RYNAF38"/>
        <s v="91430200MA4LXG9A6Q"/>
        <s v="91430200C00545999M"/>
        <s v="91430223MA7BE1W023"/>
        <s v="914301027968712732"/>
      </sharedItems>
    </cacheField>
    <cacheField name="债务人经济成分" numFmtId="0">
      <sharedItems containsBlank="1" count="2">
        <s v="私人控股"/>
        <m/>
      </sharedItems>
    </cacheField>
    <cacheField name="是否首次贷款" numFmtId="0">
      <sharedItems count="2">
        <s v="否"/>
        <s v="是"/>
      </sharedItems>
    </cacheField>
    <cacheField name="债务人登记所在地" numFmtId="0">
      <sharedItems count="19">
        <s v="湖南省/永州市/东安县"/>
        <s v="湖南省/长沙市/开福区"/>
        <s v="湖南省/益阳市/赫山区"/>
        <s v="湖南省/娄底市/新化县"/>
        <s v="湖南省/株洲市/石峰区"/>
        <s v="湖南省/株洲市/荷塘区"/>
        <s v="湖南省/株洲市/天元区"/>
        <s v="湖南省/张家界市/慈利县"/>
        <s v="湖南省/株洲市/渌口区"/>
        <s v="湖南省/株洲市/攸县"/>
        <s v="湖南省/长沙市/岳麓区"/>
        <s v="湖南省/长沙市/雨花区"/>
        <s v="湖南省/湘潭市/雨湖区"/>
        <s v="湖南省/益阳市/安化县"/>
        <s v="湖南省/常德市/鼎城区"/>
        <s v="湖南省/怀化市/溆浦县"/>
        <s v="湖南省/长沙市/宁乡市"/>
        <s v="湖南省/益阳市/桃江县"/>
        <s v="湖南省/长沙市/芙蓉区"/>
      </sharedItems>
    </cacheField>
    <cacheField name="所属行业(国)" numFmtId="0">
      <sharedItems count="28">
        <s v="其他常用有色金属冶炼"/>
        <s v="集成电路设计"/>
        <s v="稻谷加工"/>
        <s v="其他机械设备及电子产品批发"/>
        <s v="金属结构制造"/>
        <s v="其他未列明金属制品制造"/>
        <s v="生物技术推广服务"/>
        <s v="其他饲料加工"/>
        <s v="牲畜屠宰"/>
        <s v="其他房屋建筑业"/>
        <s v="有色金属合金制造"/>
        <s v="齿轮及齿轮减、变速箱制造"/>
        <s v="其他科技推广服务业"/>
        <s v="住宅房屋建筑"/>
        <s v="印刷专用设备制造"/>
        <s v="涂料制造"/>
        <s v="医疗用品及器材批发"/>
        <s v="其他输配电及控制设备制造"/>
        <s v="其他未列明零售业"/>
        <s v="其他未列明食品制造"/>
        <s v="水果和坚果加工"/>
        <s v="纺织专用设备制造"/>
        <s v="锻件及粉末冶金制品制造"/>
        <s v="稀有稀土金属压延加工"/>
        <s v="其他电子产品零售"/>
        <s v="名胜风景区管理"/>
        <s v="石墨及碳素制品制造"/>
        <s v="水泥制品制造"/>
      </sharedItems>
    </cacheField>
    <cacheField name="所属行业(工)" numFmtId="0">
      <sharedItems count="6">
        <s v="工业"/>
        <s v="软件和信息技术服务业"/>
        <s v="批发业"/>
        <s v="其他未列明行业"/>
        <s v="建筑业"/>
        <s v="零售业"/>
      </sharedItems>
    </cacheField>
    <cacheField name="上一年末资产总额(万元)" numFmtId="0">
      <sharedItems containsSemiMixedTypes="0" containsString="0" containsNumber="1" minValue="0" maxValue="51187.25" count="29">
        <n v="4311.61"/>
        <n v="7202"/>
        <n v="3455"/>
        <n v="6684"/>
        <n v="13299"/>
        <n v="2746"/>
        <n v="107.67"/>
        <n v="5513"/>
        <n v="15433"/>
        <n v="3918"/>
        <n v="16830"/>
        <n v="6868"/>
        <n v="10300"/>
        <n v="9061"/>
        <n v="4484"/>
        <n v="4566"/>
        <n v="4733"/>
        <n v="4708"/>
        <n v="41967"/>
        <n v="300"/>
        <n v="7511.85"/>
        <n v="16830.62"/>
        <n v="51187.25"/>
        <n v="10285"/>
        <n v="15511"/>
        <n v="21001"/>
        <n v="9883"/>
        <n v="6010"/>
        <n v="11287"/>
      </sharedItems>
    </cacheField>
    <cacheField name="上一年度营业收入(万元)" numFmtId="0">
      <sharedItems containsSemiMixedTypes="0" containsString="0" containsNumber="1" minValue="0" maxValue="26619" count="29">
        <n v="9269.74"/>
        <n v="4537"/>
        <n v="9353"/>
        <n v="4933"/>
        <n v="5718"/>
        <n v="460"/>
        <n v="4588.36"/>
        <n v="26619"/>
        <n v="13060.26"/>
        <n v="6457"/>
        <n v="11047"/>
        <n v="6718"/>
        <n v="5803"/>
        <n v="15476"/>
        <n v="13058"/>
        <n v="1648"/>
        <n v="2400"/>
        <n v="13855"/>
        <n v="23620"/>
        <n v="2000"/>
        <n v="11587.56"/>
        <n v="11047.85"/>
        <n v="19433.06"/>
        <n v="24151"/>
        <n v="4996"/>
        <n v="11885"/>
        <n v="8546"/>
        <n v="11610"/>
        <n v="8132"/>
      </sharedItems>
    </cacheField>
    <cacheField name="上一年末从业人数" numFmtId="0">
      <sharedItems containsSemiMixedTypes="0" containsString="0" containsNumber="1" containsInteger="1" minValue="0" maxValue="280" count="29">
        <n v="130"/>
        <n v="39"/>
        <n v="31"/>
        <n v="9"/>
        <n v="100"/>
        <n v="84"/>
        <n v="23"/>
        <n v="85"/>
        <n v="19"/>
        <n v="280"/>
        <n v="92"/>
        <n v="124"/>
        <n v="83"/>
        <n v="50"/>
        <n v="53"/>
        <n v="30"/>
        <n v="16"/>
        <n v="162"/>
        <n v="15"/>
        <n v="25"/>
        <n v="20"/>
        <n v="45"/>
        <n v="80"/>
        <n v="46"/>
        <n v="43"/>
        <n v="102"/>
        <n v="35"/>
        <n v="24"/>
        <n v="10"/>
      </sharedItems>
    </cacheField>
    <cacheField name="缴纳税收(万元)" numFmtId="0">
      <sharedItems containsString="0" containsBlank="1" containsNumber="1" minValue="0" maxValue="604" count="20">
        <m/>
        <n v="23"/>
        <n v="5"/>
        <n v="59"/>
        <n v="7"/>
        <n v="0"/>
        <n v="36"/>
        <n v="6.19"/>
        <n v="14"/>
        <n v="26"/>
        <n v="15"/>
        <n v="13"/>
        <n v="35"/>
        <n v="7.5"/>
        <n v="400"/>
        <n v="227.11"/>
        <n v="545.69"/>
        <n v="368.34"/>
        <n v="604"/>
        <n v="207"/>
      </sharedItems>
    </cacheField>
    <cacheField name="企业划型" numFmtId="0">
      <sharedItems count="3">
        <s v="小型企业"/>
        <s v="微型企业"/>
        <s v="其他"/>
      </sharedItems>
    </cacheField>
    <cacheField name="服务对象类型" numFmtId="0">
      <sharedItems count="2">
        <s v="小微企业"/>
        <s v="小微企业,三农"/>
      </sharedItems>
    </cacheField>
    <cacheField name="战略新兴产业分类" numFmtId="0">
      <sharedItems containsBlank="1" count="17">
        <s v="3.2.9.1"/>
        <s v="1.3.4"/>
        <m/>
        <s v="3.1.12.6"/>
        <s v="2.1.4"/>
        <s v="4.3.6"/>
        <s v="4.3.4"/>
        <s v="3.2.1.1"/>
        <s v="2.1.5"/>
        <s v="2.1.2"/>
        <s v="2.5.3"/>
        <s v="5.3.1"/>
        <s v="4.5.4"/>
        <s v="3.1.11.1"/>
        <s v="3.2.5.1"/>
        <s v="1.2.3"/>
        <s v="3.4.4.1"/>
      </sharedItems>
    </cacheField>
    <cacheField name="法定代表人姓名" numFmtId="0">
      <sharedItems count="33">
        <s v="邓天祥"/>
        <s v="涂立"/>
        <s v="彭星宇"/>
        <s v="邹石海"/>
        <s v="林晋宇"/>
        <s v="谢磊"/>
        <s v="谭金"/>
        <s v="罗祖国"/>
        <s v="殷水安"/>
        <s v="唐树松"/>
        <s v="袁四明"/>
        <s v="刘清"/>
        <s v="刘超"/>
        <s v="肖芳斌"/>
        <s v="黄明星"/>
        <s v="刘为成"/>
        <s v="刘晓明"/>
        <s v="傅桥"/>
        <s v="陈伟其"/>
        <s v="盛利果"/>
        <s v="刘凤兰"/>
        <s v="王晓芳"/>
        <s v="熊湘钢"/>
        <s v="谭遇初"/>
        <s v="朱维"/>
        <s v="但红梅"/>
        <s v="刘训兵"/>
        <s v="娄珂"/>
        <s v="侯慧"/>
        <s v="王新华"/>
        <s v="贺新貌"/>
        <s v="朱栋梁"/>
        <s v="唐作君"/>
      </sharedItems>
    </cacheField>
    <cacheField name="法定代表人证件类型" numFmtId="0">
      <sharedItems count="1">
        <s v="居民身份证"/>
      </sharedItems>
    </cacheField>
    <cacheField name="法定代表人证件号码" numFmtId="0">
      <sharedItems count="33">
        <s v="432922198007267118"/>
        <s v="510102196809247514"/>
        <s v="430903199102044258"/>
        <s v="432524196712264037"/>
        <s v="430202199107091024"/>
        <s v="430104196806190017"/>
        <s v="430221198707045915"/>
        <s v="430821197210273611"/>
        <s v="430221197504026517"/>
        <s v="430211197712106017"/>
        <s v="430202197503144037"/>
        <s v="430202197403151010"/>
        <s v="433025198212040116"/>
        <s v="352229197904136013"/>
        <s v="430211196704276812"/>
        <s v="430202195710014017"/>
        <s v="430502196905021031"/>
        <s v="432326197008020078"/>
        <s v="430121197404252132"/>
        <s v="430303195701140515"/>
        <s v="430321196306206446"/>
        <s v="430103197011121569"/>
        <s v="430302195711041514"/>
        <s v="432321197009215895"/>
        <s v="430302198302150780"/>
        <s v="510522197810099848"/>
        <s v="432326196401071678"/>
        <s v="430703198510056658"/>
        <s v="433024198208226317"/>
        <s v="430124196411167993"/>
        <s v="432325197510132394"/>
        <s v="432321197907096779"/>
        <s v="432503197902248348"/>
      </sharedItems>
    </cacheField>
    <cacheField name="债权人名称" numFmtId="0">
      <sharedItems count="24">
        <s v="中国邮政储蓄银行永州市分行"/>
        <s v="中国农业银行长沙县支行"/>
        <s v="中国农业银行益阳赫山支行"/>
        <s v="中国农业银行新化县支行"/>
        <s v="中国工商银行株洲渌口支行"/>
        <s v="中国工商银行株洲市新华路支行"/>
        <s v="中国建设银行股份有限公司株洲珠江支行"/>
        <s v="中国农业银行张家界慈利支行"/>
        <s v="中国建设银行股份有限公司株洲长江支行"/>
        <s v="中国工商银行株洲市汇源支行"/>
        <s v="中国工商银行株洲分行"/>
        <s v="中国工商银行株洲市董家段支行"/>
        <s v="中国工商银行攸县支行"/>
        <s v="中国农业银行长沙麓山支行"/>
        <s v="中国农业银行湖南湘江新区分行"/>
        <s v="中国工商银行湘潭市湘江支行"/>
        <s v="中国建设银行股份有限公司渌口支行"/>
        <s v="中国建设银行股份有限公司株洲滨江支行"/>
        <s v="中国农业银行安化县支行"/>
        <s v="中国农业银行常德江北支行"/>
        <s v="中国农业银行溆浦县支行"/>
        <s v="中国农业银行宁乡县支行"/>
        <s v="中国农业银行桃江县支行"/>
        <s v="中国农业银行长沙芙蓉区支行"/>
      </sharedItems>
    </cacheField>
    <cacheField name="主债权金额（万元）" numFmtId="0">
      <sharedItems containsSemiMixedTypes="0" containsString="0" containsNumber="1" containsInteger="1" minValue="0" maxValue="1000" count="10">
        <n v="800"/>
        <n v="990"/>
        <n v="710"/>
        <n v="600"/>
        <n v="985"/>
        <n v="1000"/>
        <n v="700"/>
        <n v="900"/>
        <n v="980"/>
        <n v="949"/>
      </sharedItems>
    </cacheField>
    <cacheField name="融资品种" numFmtId="0">
      <sharedItems count="1">
        <s v="流动资金贷款"/>
      </sharedItems>
    </cacheField>
    <cacheField name="贷款利率（年）（%）" numFmtId="0">
      <sharedItems containsSemiMixedTypes="0" containsString="0" containsNumber="1" minValue="0" maxValue="5" count="15">
        <n v="4.9"/>
        <n v="4.05"/>
        <n v="3.9"/>
        <n v="3.95"/>
        <n v="5"/>
        <n v="3.75"/>
        <n v="4"/>
        <n v="3.85"/>
        <n v="3.65"/>
        <n v="4.25"/>
        <n v="3.5"/>
        <n v="4.2"/>
        <n v="4.1"/>
        <n v="4.45"/>
        <n v="4.4"/>
      </sharedItems>
    </cacheField>
    <cacheField name="币种" numFmtId="0">
      <sharedItems count="1">
        <s v="人民币"/>
      </sharedItems>
    </cacheField>
    <cacheField name="是否收取评审费/咨询费等" numFmtId="0">
      <sharedItems count="1">
        <s v="否"/>
      </sharedItems>
    </cacheField>
    <cacheField name="主债权起始日期" numFmtId="0">
      <sharedItems count="24">
        <s v="2022-11-11 00:00:00"/>
        <s v="2022-11-28 00:00:00"/>
        <s v="2022-11-07 00:00:00"/>
        <s v="2022-11-17 00:00:00"/>
        <s v="2022-11-18 00:00:00"/>
        <s v="2022-11-30 00:00:00"/>
        <s v="2022-09-16 00:00:00"/>
        <s v="2022-09-26 00:00:00"/>
        <s v="2022-09-15 00:00:00"/>
        <s v="2022-09-29 00:00:00"/>
        <s v="2022-09-09 00:00:00"/>
        <s v="2022-09-06 00:00:00"/>
        <s v="2022-10-28 00:00:00"/>
        <s v="2022-10-14 00:00:00"/>
        <s v="2022-10-27 00:00:00"/>
        <s v="2022-09-23 00:00:00"/>
        <s v="2022-08-31 00:00:00"/>
        <s v="2022-09-22 00:00:00"/>
        <s v="2022-10-09 00:00:00"/>
        <s v="2022-09-05 00:00:00"/>
        <s v="2022-09-28 00:00:00"/>
        <s v="2022-10-19 00:00:00"/>
        <s v="2022-10-31 00:00:00"/>
        <s v="2022-09-01 00:00:00"/>
      </sharedItems>
    </cacheField>
    <cacheField name="主债权到期日期" numFmtId="0">
      <sharedItems count="28">
        <s v="2023-11-09 00:00:00"/>
        <s v="2023-11-27 00:00:00"/>
        <s v="2023-11-10 00:00:00"/>
        <s v="2023-11-06 00:00:00"/>
        <s v="2023-11-17 00:00:00"/>
        <s v="2023-11-18 00:00:00"/>
        <s v="2023-11-24 00:00:00"/>
        <s v="2023-09-15 00:00:00"/>
        <s v="2023-09-26 00:00:00"/>
        <s v="2023-09-16 00:00:00"/>
        <s v="2023-09-29 00:00:00"/>
        <s v="2023-09-09 00:00:00"/>
        <s v="2023-09-06 00:00:00"/>
        <s v="2023-10-27 00:00:00"/>
        <s v="2023-10-13 00:00:00"/>
        <s v="2023-10-26 00:00:00"/>
        <s v="2023-03-22 00:00:00"/>
        <s v="2023-08-26 00:00:00"/>
        <s v="2023-02-27 00:00:00"/>
        <s v="2023-09-04 00:00:00"/>
        <s v="2023-09-17 00:00:00"/>
        <s v="2023-10-09 00:00:00"/>
        <s v="2023-10-11 00:00:00"/>
        <s v="2023-09-27 00:00:00"/>
        <s v="2023-09-14 00:00:00"/>
        <s v="2023-10-18 00:00:00"/>
        <s v="2023-10-30 00:00:00"/>
        <s v="2023-08-31 00:00:00"/>
      </sharedItems>
    </cacheField>
    <cacheField name="展期起始日期" numFmtId="0">
      <sharedItems containsString="0" containsBlank="1" containsNonDate="0" count="1">
        <m/>
      </sharedItems>
    </cacheField>
    <cacheField name="借款合同号" numFmtId="0">
      <sharedItems count="34">
        <s v="0343000151221110972007"/>
        <s v="43010120220004906"/>
        <s v="43010120220004514"/>
        <s v="43010120220004362"/>
        <s v="0190300207-2022年(渌支)字00094号"/>
        <s v="0190300009-2022年(新支)字00816号"/>
        <s v="HTZ430102015LDZJ2022N004"/>
        <s v="43010120220003634"/>
        <s v="HTZ430629800CNED2022N009"/>
        <s v="0190300207-2022年(渌支)字00071号"/>
        <s v="0190300004-2022年(汇源)字00308号"/>
        <s v="0190300009-2022年(新支)字00628号"/>
        <s v="0190300009-2022年(新支)字00734号"/>
        <s v="0190300301-2022年(营业)字00338号"/>
        <s v="0190300004-2022年(汇源)字00318号"/>
        <s v="0190300011-2022年(董支)字00446号"/>
        <s v="0190300013-2022年(攸县)字00223号"/>
        <s v="43010120220004083"/>
        <s v="43010120220004262"/>
        <s v="AAA20220830002476477"/>
        <s v="AAA20210311001061099"/>
        <s v="AAA20210311001061102"/>
        <s v="AAA20220830002476055"/>
        <s v="AAA20220830002476478"/>
        <s v="AAA20220829002475660"/>
        <s v="HTZ430627500LDZJ2022N00T"/>
        <s v="HTZ430115637CNED2022N015"/>
        <s v="43010120220003537"/>
        <s v="43010120220003900"/>
        <s v="43010120220003876"/>
        <s v="43010120220003681"/>
        <s v="43010120220004155"/>
        <s v="43010120220004321"/>
        <s v="43010120220003386"/>
      </sharedItems>
    </cacheField>
    <cacheField name="借款凭证（借据）编号" numFmtId="0">
      <sharedItems containsBlank="1" count="31">
        <s v="0343000151221110972007017095"/>
        <s v="430120220038336"/>
        <s v="430120220036523"/>
        <s v="430120220036040"/>
        <s v="0190300207-2022年(借)字000050号"/>
        <s v="0190300009-2022年(借)字000656号、0190300009-2022年(借)字000655号"/>
        <m/>
        <s v="430120220031107"/>
        <s v="0190300207-2022年(借)字000044号"/>
        <s v="0190300004-2022年(借)字000222号"/>
        <s v="0190300009-2022年(借)字000561号、0190300009-2022年(借)字000567号"/>
        <s v="0190300009-2022年(借)字000578号、0190300009-2022年(借)字000573号"/>
        <s v="0190300301-2022年(借)字000215号"/>
        <s v="0190300004-2022年(借)字000223号"/>
        <s v="0190300011-2022年(借)字000313号、0190300011-2022年(借)字000311号"/>
        <s v="0190300013-2022年(借)字000143号"/>
        <s v="430120220033903"/>
        <s v="430120220035135"/>
        <s v="0190400002-2022年(信)字000652号、0190400002-2022年(信)字000650号"/>
        <s v="0190400002-2022年(信)字000598号、0190400002-2022年(信)字000597号"/>
        <s v="0190400002-2022年(信)字000599号、0190400002-2022年(信)字000602号"/>
        <s v="0190400002-2022年(信)字000596号、0190400002-2022年(信)字000601号"/>
        <s v="0190400002-2022年(信)字000657号、0190400002-2022年(信)字000658号"/>
        <s v="0190400002-2022年(信)字000655号、0190400002-2022年(信)字000656号"/>
        <s v="430120220030254"/>
        <s v="430120220032548"/>
        <s v="430120220032943"/>
        <s v="430120220031047"/>
        <s v="430120220034402"/>
        <s v="430120220035454、430120220035455、430120220035456"/>
        <s v="430120220029463"/>
      </sharedItems>
    </cacheField>
    <cacheField name="保证合同号" numFmtId="0">
      <sharedItems count="19">
        <s v="湘再担保批量[2021]邮储第11号-1"/>
        <s v="43100520210001861"/>
        <s v="保证43100520220000003号"/>
        <s v="0190300207-2022年渌支(保)字0018号"/>
        <s v="0190300009-2022年新支(保)字0040号"/>
        <s v="HTC430102015ZGDB2022N00J"/>
        <s v="43100520220004674"/>
        <s v="HTC430629800ZGDB2022N00K"/>
        <s v="0190300207-2022年渌支(保)字0011号"/>
        <s v="0190300004-2022年汇源(保)字0028号"/>
        <s v="0190300009-2022年新支(保)字0037号"/>
        <s v="0190300009-2022年新支(保)字0039号"/>
        <s v="0190300301-2022年营业(保)字0023号"/>
        <s v="0190300004-2022年汇源(保)字0027号"/>
        <s v="0190300011-2022年董支(保)字0027号"/>
        <s v="0190300013-2022年攸县(保)字0024号"/>
        <s v="湘潭国担[2022]01号"/>
        <s v="HTC430627500ZGDB2022N01P"/>
        <s v="HTC430115637ZGDB2022N02A"/>
      </sharedItems>
    </cacheField>
    <cacheField name="委托保证合同号" numFmtId="0">
      <sharedItems count="34">
        <s v="0343000151221110972007-01"/>
        <s v="43010120220004906-1"/>
        <s v="43010120220004514-1"/>
        <s v="43010120220004362-1"/>
        <s v="省中小银担E贷2022095"/>
        <s v="省中小银担E贷2022096"/>
        <s v="SRD-JE-202211-179"/>
        <s v="2022年张银担e贷第083号"/>
        <s v="SRD-JE-202209-141"/>
        <s v="省中小银担E贷2022077"/>
        <s v="省中小银担E贷2022071"/>
        <s v="省中小银担E贷2022085"/>
        <s v="省中小银担E贷2022084"/>
        <s v="省中小银担E贷2022087"/>
        <s v="省中小银担E贷2022078"/>
        <s v="省中小银担E贷2022073"/>
        <s v="省中小银担E贷2022092"/>
        <s v="43010120220004083-1"/>
        <s v="43010120220004262-1（1）"/>
        <s v="2022年潭中小担第183（委）字01号"/>
        <s v="2022年潭中小担第184（委）字01号"/>
        <s v="2022年潭中小担第185（委）字01号"/>
        <s v="2022年潭中小担第186（委）字01号"/>
        <s v="2022年潭中小担第187（委）字01号"/>
        <s v="2022年潭中小担第188（委）字01号"/>
        <s v="SRD-JE-202209-145"/>
        <s v="SRD-JE-202210-158"/>
        <s v="43010120220003537-1"/>
        <s v="43100520220006200-1"/>
        <s v="43010120220003876-1"/>
        <s v="43100520220000003-2"/>
        <s v="43010120220004155-1"/>
        <s v="43010120220004321-1"/>
        <s v="43010120220003386-2"/>
      </sharedItems>
    </cacheField>
    <cacheField name="原担保费率（%）" numFmtId="0">
      <sharedItems containsSemiMixedTypes="0" containsString="0" containsNumber="1" minValue="0" maxValue="1" count="4">
        <n v="1"/>
        <n v="0"/>
        <n v="0.8"/>
        <n v="0.5"/>
      </sharedItems>
    </cacheField>
    <cacheField name="担保费率备注" numFmtId="0">
      <sharedItems containsBlank="1" count="8">
        <m/>
        <s v="根据“长财金函【2022】18号文件，免收担保费"/>
        <s v="6万"/>
        <s v="根据“长财金函〔2022〕18号”文件，免收担保费"/>
        <s v="10"/>
        <s v="8"/>
        <s v="10万"/>
        <s v="9.8万"/>
      </sharedItems>
    </cacheField>
    <cacheField name="反担保措施" numFmtId="0">
      <sharedItems count="2">
        <s v="自然人保证"/>
        <s v="企业保证"/>
      </sharedItems>
    </cacheField>
    <cacheField name="分险比例（债权人）" numFmtId="0">
      <sharedItems containsSemiMixedTypes="0" containsString="0" containsNumber="1" containsInteger="1" minValue="0" maxValue="20" count="1">
        <n v="20"/>
      </sharedItems>
    </cacheField>
    <cacheField name="分险比例（直担）" numFmtId="0">
      <sharedItems containsSemiMixedTypes="0" containsString="0" containsNumber="1" containsInteger="1" minValue="0" maxValue="30" count="1">
        <n v="30"/>
      </sharedItems>
    </cacheField>
    <cacheField name="分险比例（市级再担保）" numFmtId="0">
      <sharedItems containsSemiMixedTypes="0" containsString="0" containsNumber="1" containsInteger="1" minValue="0" maxValue="0" count="1">
        <n v="0"/>
      </sharedItems>
    </cacheField>
    <cacheField name="分险比例（省级再担保）" numFmtId="0">
      <sharedItems containsSemiMixedTypes="0" containsString="0" containsNumber="1" containsInteger="1" minValue="0" maxValue="20" count="1">
        <n v="20"/>
      </sharedItems>
    </cacheField>
    <cacheField name="分险比例（国担）" numFmtId="0">
      <sharedItems containsSemiMixedTypes="0" containsString="0" containsNumber="1" containsInteger="1" minValue="0" maxValue="30" count="1">
        <n v="30"/>
      </sharedItems>
    </cacheField>
    <cacheField name="分险比例（其他）" numFmtId="0">
      <sharedItems containsSemiMixedTypes="0" containsString="0" containsNumber="1" containsInteger="1" minValue="0" maxValue="0" count="1">
        <n v="0"/>
      </sharedItems>
    </cacheField>
    <cacheField name="源系统业务编号" numFmtId="0">
      <sharedItems containsString="0" containsBlank="1" containsNonDate="0" count="1">
        <m/>
      </sharedItems>
    </cacheField>
    <cacheField name="企业标签" numFmtId="0">
      <sharedItems count="3">
        <s v=""/>
        <s v="高新企业"/>
        <s v="专精特新,高新企业"/>
      </sharedItems>
    </cacheField>
    <cacheField name="备注" numFmtId="0">
      <sharedItems containsBlank="1" count="17">
        <s v="三高四新"/>
        <s v="农行202211益阳"/>
        <s v="农行202211娄底"/>
        <s v="续贷项目，本笔800万元贷款银担E贷"/>
        <s v="续贷项目，本笔985万元贷款银担E贷"/>
        <m/>
        <s v="本笔800万元银担e贷，后续不再报送"/>
        <s v="续贷项目，本笔1000万元银担e贷，后续不再报送"/>
        <s v="本笔1000万元银担e贷，后续不再报送"/>
        <s v="本笔700万元银担e贷，后续不再报送"/>
        <s v="续贷项目，本笔900万元银担e贷，后续不再报送"/>
        <s v="因疫情影响延迟报送，承诺报送前无代偿风险等异常情况，若承诺不实，国担基金及省再担保免除补偿责任"/>
        <s v="补报此项目，承诺报送前无代偿风险等异常情况，若承诺不实，国担基金免除补偿责任 农行202209益阳"/>
        <s v="补报此项目，承诺报送前无代偿风险等异常情况，若承诺不实，国担基金免除补偿责任农行202209常德"/>
        <s v="补报此项目，承诺报送前无代偿风险等异常情况，若承诺不实，国担基金免除补偿责任 农行202209怀化"/>
        <s v="补报此项目，承诺报送前无代偿风险等异常情况，若承诺不实，国担基金免除补偿责任 农行202209长沙"/>
        <s v="农行202210益阳"/>
      </sharedItems>
    </cacheField>
    <cacheField name="直担产品" numFmtId="0">
      <sharedItems count="3">
        <s v="总对总标准产品"/>
        <s v="银担总对总"/>
        <s v="工行国担快贷"/>
      </sharedItems>
    </cacheField>
    <cacheField name="市再产品" numFmtId="0">
      <sharedItems containsString="0" containsBlank="1" containsNonDate="0" count="1">
        <m/>
      </sharedItems>
    </cacheField>
    <cacheField name="省再产品" numFmtId="0">
      <sharedItems count="1">
        <s v="总对总标准产品"/>
      </sharedItems>
    </cacheField>
    <cacheField name="市再确认时间" numFmtId="0">
      <sharedItems containsString="0" containsBlank="1" containsNonDate="0" count="1">
        <m/>
      </sharedItems>
    </cacheField>
    <cacheField name="省再确认时间" numFmtId="0">
      <sharedItems count="12">
        <s v="2022-12-28 09:08:39"/>
        <s v="2022-12-26 08:58:46"/>
        <s v="2022-12-29 11:15:27"/>
        <s v="2022-12-30 14:19:13"/>
        <s v="2022-10-28 11:27:57"/>
        <s v="2022-10-28 11:28:17"/>
        <s v="2022-10-31 11:19:21"/>
        <s v="2022-11-28 08:58:27"/>
        <s v="2022-11-29 08:52:16"/>
        <s v="2022-11-28 08:59:03"/>
        <s v="2022-11-29 08:51:03"/>
        <s v="2022-10-28 11:27:12"/>
      </sharedItems>
    </cacheField>
    <cacheField name="国担确认时间" numFmtId="0">
      <sharedItems count="15">
        <s v="2022-12-30 18:03:22"/>
        <s v="2022-12-30 18:02:21"/>
        <s v="2022-12-30 18:04:52"/>
        <s v="2022-12-30 18:05:57"/>
        <s v="2022-10-31 16:38:00"/>
        <s v="2022-10-31 16:38:21"/>
        <s v="2022-10-31 16:39:17"/>
        <s v="2022-10-31 16:40:43"/>
        <s v="2022-11-29 17:29:27"/>
        <s v="2022-11-29 17:28:47"/>
        <s v="2022-11-29 17:30:38"/>
        <s v="2022-11-29 17:30:52"/>
        <s v="2022-11-29 17:29:53"/>
        <s v="2022-11-29 17:30:20"/>
        <s v="2022-10-31 16:37:21"/>
      </sharedItems>
    </cacheField>
    <cacheField name="直担机构提报时间" numFmtId="0">
      <sharedItems count="18">
        <s v="2022-12-07 12:25:56"/>
        <s v="2022-12-15 11:03:03"/>
        <s v="2022-12-19 16:59:20"/>
        <s v="2022-12-20 10:41:32"/>
        <s v="2022-12-21 10:17:24"/>
        <s v="2022-12-22 14:31:10"/>
        <s v="2022-10-18 08:13:28"/>
        <s v="2022-10-20 08:41:10"/>
        <s v="2022-10-24 10:08:48"/>
        <s v="2022-10-28 17:52:00"/>
        <s v="2022-11-14 16:01:32"/>
        <s v="2022-11-21 11:44:09"/>
        <s v="2022-11-23 14:29:38"/>
        <s v="2022-11-24 16:23:01"/>
        <s v="2022-11-25 16:26:14"/>
        <s v="2022-11-25 17:08:20"/>
        <s v="2022-11-25 17:08:21"/>
        <s v="2022-10-12 10:31:52"/>
      </sharedItems>
    </cacheField>
    <cacheField name="提报人员" numFmtId="0">
      <sharedItems count="8">
        <s v="蔡晓辉"/>
        <s v="李浩飞"/>
        <s v="余艺"/>
        <s v="许汉威"/>
        <s v="丁杰"/>
        <s v="郭云"/>
        <s v="潘竟捷"/>
        <s v="熊玺"/>
      </sharedItems>
    </cacheField>
    <cacheField name="市再合规性审查结果" numFmtId="0">
      <sharedItems containsString="0" containsBlank="1" containsNonDate="0" count="1">
        <m/>
      </sharedItems>
    </cacheField>
    <cacheField name="省再合规性审查结果" numFmtId="0">
      <sharedItems count="1">
        <s v="省再担合规性审查通过"/>
      </sharedItems>
    </cacheField>
    <cacheField name="国担合规性审查结果" numFmtId="0">
      <sharedItems count="1">
        <s v="国担合规性审查通过"/>
      </sharedItems>
    </cacheField>
    <cacheField name="在保余额（万元）" numFmtId="0">
      <sharedItems containsSemiMixedTypes="0" containsString="0" containsNumber="1" containsInteger="1" minValue="0" maxValue="1000" count="10">
        <n v="800"/>
        <n v="990"/>
        <n v="710"/>
        <n v="600"/>
        <n v="985"/>
        <n v="1000"/>
        <n v="700"/>
        <n v="900"/>
        <n v="980"/>
        <n v="949"/>
      </sharedItems>
    </cacheField>
    <cacheField name="主债权金额（万元）2" numFmtId="0">
      <sharedItems containsSemiMixedTypes="0" containsString="0" containsNumber="1" containsInteger="1" minValue="0" maxValue="1000" count="10">
        <n v="800"/>
        <n v="990"/>
        <n v="710"/>
        <n v="600"/>
        <n v="985"/>
        <n v="1000"/>
        <n v="700"/>
        <n v="900"/>
        <n v="980"/>
        <n v="949"/>
      </sharedItems>
    </cacheField>
    <cacheField name="期限（天）" numFmtId="0">
      <sharedItems containsSemiMixedTypes="0" containsString="0" containsNumber="1" containsInteger="1" minValue="0" maxValue="365" count="7">
        <n v="363"/>
        <n v="364"/>
        <n v="365"/>
        <n v="359"/>
        <n v="180"/>
        <n v="360"/>
        <n v="362"/>
      </sharedItems>
    </cacheField>
    <cacheField name="减免后再担保费率" numFmtId="10">
      <sharedItems containsSemiMixedTypes="0" containsString="0" containsNumber="1" minValue="0" maxValue="0.002" count="1">
        <n v="0.002"/>
      </sharedItems>
    </cacheField>
    <cacheField name="减免后应缴再担保费（元）" numFmtId="181">
      <sharedItems containsSemiMixedTypes="0" containsString="0" containsNumber="1" minValue="0" maxValue="20000" count="19">
        <n v="15912.33"/>
        <n v="19745.75"/>
        <n v="14161.1"/>
        <n v="11967.12"/>
        <n v="16000"/>
        <n v="19700"/>
        <n v="11802.74"/>
        <n v="15956.16"/>
        <n v="12000"/>
        <n v="20000"/>
        <n v="14000"/>
        <n v="18000"/>
        <n v="19945.21"/>
        <n v="9863.01"/>
        <n v="19726.03"/>
        <n v="11901.37"/>
        <n v="19890.41"/>
        <n v="19546.3"/>
        <n v="18928"/>
      </sharedItems>
    </cacheField>
    <cacheField name="原费率" numFmtId="10">
      <sharedItems containsSemiMixedTypes="0" containsString="0" containsNumber="1" minValue="0" maxValue="0.003" count="1">
        <n v="0.003"/>
      </sharedItems>
    </cacheField>
    <cacheField name="原费率应缴再担保费（元）" numFmtId="181">
      <sharedItems containsSemiMixedTypes="0" containsString="0" containsNumber="1" minValue="0" maxValue="30000" count="19">
        <n v="23868.49"/>
        <n v="29618.63"/>
        <n v="21241.64"/>
        <n v="17950.68"/>
        <n v="24000"/>
        <n v="29550"/>
        <n v="17704.11"/>
        <n v="23934.25"/>
        <n v="18000"/>
        <n v="30000"/>
        <n v="21000"/>
        <n v="27000"/>
        <n v="29917.81"/>
        <n v="14794.52"/>
        <n v="29589.04"/>
        <n v="17852.05"/>
        <n v="29835.62"/>
        <n v="29319.45"/>
        <n v="28392"/>
      </sharedItems>
    </cacheField>
    <cacheField name="减免金额（按原费率）" numFmtId="181">
      <sharedItems containsSemiMixedTypes="0" containsString="0" containsNumber="1" minValue="0" maxValue="10000" count="19">
        <n v="7956.16"/>
        <n v="9872.88"/>
        <n v="7080.54"/>
        <n v="5983.56"/>
        <n v="8000"/>
        <n v="9850"/>
        <n v="5901.37"/>
        <n v="7978.09"/>
        <n v="6000"/>
        <n v="10000"/>
        <n v="7000"/>
        <n v="9000"/>
        <n v="9972.6"/>
        <n v="4931.51"/>
        <n v="9863.01"/>
        <n v="5950.68"/>
        <n v="9945.21"/>
        <n v="9773.15"/>
        <n v="9464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8" minRefreshableVersion="3" refreshedDate="44958.6053927083" refreshedBy="潘琦" recordCount="5042">
  <cacheSource type="worksheet">
    <worksheetSource ref="A1:A1" sheet="再担保费-子璇原表"/>
  </cacheSource>
  <cacheFields count="75">
    <cacheField name="唯一业务编号" numFmtId="0"/>
    <cacheField name="业务品种" numFmtId="0"/>
    <cacheField name="业务类型" numFmtId="0"/>
    <cacheField name="直担机构名称" numFmtId="0">
      <sharedItems containsBlank="1" count="52">
        <s v="宁远县中小微企业融资担保有限公司"/>
        <s v="湖南德诚融资担保有限公司"/>
        <s v="张家界市中小企业融资担保有限公司"/>
        <s v="永州市潇湘融资担保有限公司"/>
        <s v="汨罗诚晟融资担保有限公司"/>
        <s v="湘潭企业融资担保有限公司"/>
        <s v="湖南众诺融资担保有限公司"/>
        <s v="湖南省中小企业融资担保有限公司"/>
        <s v="株洲市融资担保有限公司"/>
        <s v="蓝山县财信融资担保有限公司"/>
        <s v="湘潭县莲乡融资担保有限公司"/>
        <s v="株洲高科火炬融资担保有限公司"/>
        <s v="桃源县惠民中小企业融资担保有限公司"/>
        <s v="张家界经济发展融资担保有限公司"/>
        <s v="隆回县中小企业融资担保有限责任公司"/>
        <s v="益阳市融资担保有限责任公司"/>
        <s v="娄底市兴娄融资担保有限公司"/>
        <s v="花垣县十八洞融资担保有限责任公司"/>
        <s v="湘西融资担保有限责任公司"/>
        <s v="常德美源融资担保有限责任公司"/>
        <s v="浏阳市财信融资担保有限责任公司"/>
        <s v="耒阳市互惠投融资担保有限公司"/>
        <s v="常德财鑫融资担保有限公司"/>
        <s v="常德财科融资担保有限公司"/>
        <s v="浏阳市中小企业融资担保有限公司"/>
        <s v="怀化市财信融资担保有限责任公司"/>
        <s v="常德市善德融资担保有限公司"/>
        <s v="长沙市中水融资担保有限公司"/>
        <s v="长沙经济技术开发区融资担保有限公司"/>
        <s v="邵阳县中小企业融资担保有限责任公司"/>
        <s v="长沙市望财融资担保有限公司"/>
        <s v="湖南省国信财富融资担保有限责任公司"/>
        <s v="岳阳县中小企业融资担保有限公司"/>
        <s v="长沙星城中小企业融资担保有限公司"/>
        <s v="衡阳市融资担保集团有限公司"/>
        <s v="邵东市鼎成融资担保有限公司"/>
        <s v="湖南金信融资担保有限责任公司"/>
        <s v="长沙市长财融资担保有限公司"/>
        <s v="湖南金玉融资担保有限公司"/>
        <s v="湘潭中小微融资担保有限公司"/>
        <s v="邵阳市中小企业融资担保有限责任公司"/>
        <s v="岳阳市融创融资担保有限公司"/>
        <s v="岳阳市小微融资担保有限责任公司"/>
        <s v="郴州市中小企业融资担保有限公司"/>
        <s v="湖南省麓谷中小企业融资担保有限公司"/>
        <s v="嘉禾嘉盛融资担保有限责任公司"/>
        <s v="湖南大农融资担保有限公司"/>
        <s v="湖南省文化旅游融资担保有限公司"/>
        <s v="湖南梅山融资担保有限责任公司"/>
        <s v="湖南潭城融资担保集团有限公司"/>
        <s v="邵阳云山融资担保有限责任公司"/>
        <m/>
      </sharedItems>
    </cacheField>
    <cacheField name="市级再担保机构名称" numFmtId="0"/>
    <cacheField name="省级再担保机构名称" numFmtId="0"/>
    <cacheField name="债务人名称" numFmtId="0"/>
    <cacheField name="债务人类别" numFmtId="0"/>
    <cacheField name="债务人证件类型" numFmtId="0"/>
    <cacheField name="债务人证件号码" numFmtId="0"/>
    <cacheField name="债务人联系人姓名" numFmtId="0"/>
    <cacheField name="债务人联系人联系方式" numFmtId="0"/>
    <cacheField name="债务人经营主体" numFmtId="0"/>
    <cacheField name="债务人经营主体统一社会信用代码" numFmtId="0"/>
    <cacheField name="债务人经济成分" numFmtId="0"/>
    <cacheField name="是否首次贷款" numFmtId="0"/>
    <cacheField name="债务人登记所在地" numFmtId="0"/>
    <cacheField name="所属行业(国)" numFmtId="0"/>
    <cacheField name="所属行业(工)" numFmtId="0"/>
    <cacheField name="上一年末资产总额(万元)" numFmtId="0"/>
    <cacheField name="上一年度营业收入(万元)" numFmtId="0"/>
    <cacheField name="上一年末从业人数" numFmtId="0"/>
    <cacheField name="缴纳税收(万元)" numFmtId="0"/>
    <cacheField name="企业划型" numFmtId="0"/>
    <cacheField name="服务对象类型" numFmtId="0"/>
    <cacheField name="战略新兴产业分类" numFmtId="0"/>
    <cacheField name="法定代表人姓名" numFmtId="0"/>
    <cacheField name="法定代表人证件类型" numFmtId="0"/>
    <cacheField name="法定代表人证件号码" numFmtId="0"/>
    <cacheField name="债权人名称" numFmtId="0"/>
    <cacheField name="主债权金额（万元）" numFmtId="0"/>
    <cacheField name="融资品种" numFmtId="0"/>
    <cacheField name="贷款利率（年）（%）" numFmtId="0"/>
    <cacheField name="币种" numFmtId="0"/>
    <cacheField name="是否收取评审费/咨询费等" numFmtId="0"/>
    <cacheField name="主债权起始日期" numFmtId="0"/>
    <cacheField name="主债权到期日期" numFmtId="0"/>
    <cacheField name="展期起始日期" numFmtId="0"/>
    <cacheField name="借款合同号" numFmtId="0"/>
    <cacheField name="借款凭证（借据）编号" numFmtId="0"/>
    <cacheField name="保证合同号" numFmtId="0"/>
    <cacheField name="委托保证合同号" numFmtId="0"/>
    <cacheField name="原担保费率（%）" numFmtId="0"/>
    <cacheField name="担保费率备注" numFmtId="0"/>
    <cacheField name="反担保措施" numFmtId="0"/>
    <cacheField name="分险比例（债权人）" numFmtId="0"/>
    <cacheField name="分险比例（直担）" numFmtId="0"/>
    <cacheField name="分险比例（市级再担保）" numFmtId="0"/>
    <cacheField name="分险比例（省级再担保）" numFmtId="0"/>
    <cacheField name="分险比例（国担）" numFmtId="0"/>
    <cacheField name="分险比例（其他）" numFmtId="0"/>
    <cacheField name="源系统业务编号" numFmtId="0"/>
    <cacheField name="企业标签" numFmtId="0"/>
    <cacheField name="备注" numFmtId="0"/>
    <cacheField name="直担产品" numFmtId="0"/>
    <cacheField name="市再产品" numFmtId="0"/>
    <cacheField name="省再产品" numFmtId="0"/>
    <cacheField name="市再确认时间" numFmtId="0"/>
    <cacheField name="省再确认时间" numFmtId="0"/>
    <cacheField name="国担确认时间" numFmtId="0"/>
    <cacheField name="直担机构提报时间" numFmtId="0"/>
    <cacheField name="提报人员" numFmtId="0"/>
    <cacheField name="市再合规性审查结果" numFmtId="0"/>
    <cacheField name="省再合规性审查结果" numFmtId="0"/>
    <cacheField name="国担合规性审查结果" numFmtId="0"/>
    <cacheField name="合规性审查不通过原因" numFmtId="0"/>
    <cacheField name="在保余额（万元）" numFmtId="0"/>
    <cacheField name="主债权金额（万元）2" numFmtId="0"/>
    <cacheField name="期限（天）" numFmtId="0"/>
    <cacheField name="减免后再担保费率" numFmtId="0"/>
    <cacheField name="减免后应缴再担保费（元）" numFmtId="0"/>
    <cacheField name="原费率" numFmtId="10"/>
    <cacheField name="原费率应缴再担保费（元）" numFmtId="43"/>
    <cacheField name="减免金额（按原费率）" numFmtId="43"/>
    <cacheField name="国担解责金额" numFmtId="43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8" minRefreshableVersion="3" refreshedDate="44958.6054232639" refreshedBy="潘琦" recordCount="158">
  <cacheSource type="worksheet">
    <worksheetSource ref="A1:A1" sheet="再担保费-子璇原表"/>
  </cacheSource>
  <cacheFields count="75">
    <cacheField name="唯一业务编号" numFmtId="0"/>
    <cacheField name="业务品种" numFmtId="0"/>
    <cacheField name="业务类型" numFmtId="0"/>
    <cacheField name="直担机构名称" numFmtId="0">
      <sharedItems containsBlank="1" count="34">
        <s v="湘潭县莲乡融资担保有限公司"/>
        <s v="张家界市中小企业融资担保有限公司"/>
        <s v="花垣县十八洞融资担保有限责任公司"/>
        <s v="湖南众诺融资担保有限公司"/>
        <s v="湖南德诚融资担保有限公司"/>
        <s v="湖南省国信财富融资担保有限责任公司"/>
        <s v="耒阳市互惠投融资担保有限公司"/>
        <s v="宁远县中小微企业融资担保有限公司"/>
        <s v="常德财科融资担保有限公司"/>
        <s v="长沙经济技术开发区融资担保有限公司"/>
        <s v="长沙市中水融资担保有限公司"/>
        <s v="长沙星城中小企业融资担保有限公司"/>
        <s v="隆回县中小企业融资担保有限责任公司"/>
        <s v="衡阳市融资担保集团有限公司"/>
        <s v="邵东市鼎成融资担保有限公司"/>
        <s v="张家界经济发展融资担保有限公司"/>
        <s v="湖南金信融资担保有限责任公司"/>
        <s v="湖南金玉融资担保有限公司"/>
        <s v="湘潭中小微融资担保有限公司"/>
        <s v="湘潭企业融资担保有限公司"/>
        <s v="邵阳市中小企业融资担保有限责任公司"/>
        <s v="岳阳市小微融资担保有限责任公司"/>
        <s v="湖南省中小企业融资担保有限公司"/>
        <s v="永州市潇湘融资担保有限公司"/>
        <s v="益阳市融资担保有限责任公司"/>
        <s v="长沙市望财融资担保有限公司"/>
        <s v="湖南潭城融资担保集团有限公司"/>
        <s v="常德市善德融资担保有限公司"/>
        <s v="桃源县惠民中小企业融资担保有限公司"/>
        <s v="娄底市兴娄融资担保有限公司"/>
        <s v="常德美源融资担保有限责任公司"/>
        <s v="常德财鑫融资担保有限公司"/>
        <s v="岳阳县中小企业融资担保有限公司"/>
        <m/>
      </sharedItems>
    </cacheField>
    <cacheField name="市级再担保机构名称" numFmtId="0"/>
    <cacheField name="省级再担保机构名称" numFmtId="0"/>
    <cacheField name="债务人名称" numFmtId="0"/>
    <cacheField name="债务人类别" numFmtId="0"/>
    <cacheField name="债务人证件类型" numFmtId="0"/>
    <cacheField name="债务人证件号码" numFmtId="0"/>
    <cacheField name="债务人联系人姓名" numFmtId="0"/>
    <cacheField name="债务人联系人联系方式" numFmtId="0"/>
    <cacheField name="债务人经营主体" numFmtId="0"/>
    <cacheField name="债务人经营主体统一社会信用代码" numFmtId="0"/>
    <cacheField name="债务人经济成分" numFmtId="0"/>
    <cacheField name="是否首次贷款" numFmtId="0"/>
    <cacheField name="债务人登记所在地" numFmtId="0"/>
    <cacheField name="所属行业(国)" numFmtId="0"/>
    <cacheField name="所属行业(工)" numFmtId="0"/>
    <cacheField name="上一年末资产总额(万元)" numFmtId="0"/>
    <cacheField name="上一年度营业收入(万元)" numFmtId="0"/>
    <cacheField name="上一年末从业人数" numFmtId="0"/>
    <cacheField name="缴纳税收(万元)" numFmtId="0"/>
    <cacheField name="企业划型" numFmtId="0"/>
    <cacheField name="服务对象类型" numFmtId="0"/>
    <cacheField name="战略新兴产业分类" numFmtId="0"/>
    <cacheField name="法定代表人姓名" numFmtId="0"/>
    <cacheField name="法定代表人证件类型" numFmtId="0"/>
    <cacheField name="法定代表人证件号码" numFmtId="0"/>
    <cacheField name="债权人名称" numFmtId="0"/>
    <cacheField name="主债权金额（万元）" numFmtId="0"/>
    <cacheField name="融资品种" numFmtId="0"/>
    <cacheField name="贷款利率（年）（%）" numFmtId="0"/>
    <cacheField name="币种" numFmtId="0"/>
    <cacheField name="是否收取评审费/咨询费等" numFmtId="0"/>
    <cacheField name="主债权起始日期" numFmtId="0"/>
    <cacheField name="主债权到期日期" numFmtId="0"/>
    <cacheField name="展期起始日期" numFmtId="0"/>
    <cacheField name="借款合同号" numFmtId="0"/>
    <cacheField name="借款凭证（借据）编号" numFmtId="0"/>
    <cacheField name="保证合同号" numFmtId="0"/>
    <cacheField name="委托保证合同号" numFmtId="0"/>
    <cacheField name="原担保费率（%）" numFmtId="0"/>
    <cacheField name="担保费率备注" numFmtId="0"/>
    <cacheField name="反担保措施" numFmtId="0"/>
    <cacheField name="分险比例（债权人）" numFmtId="0"/>
    <cacheField name="分险比例（直担）" numFmtId="0"/>
    <cacheField name="分险比例（市级再担保）" numFmtId="0"/>
    <cacheField name="分险比例（省级再担保）" numFmtId="0"/>
    <cacheField name="分险比例（国担）" numFmtId="0"/>
    <cacheField name="分险比例（其他）" numFmtId="0"/>
    <cacheField name="源系统业务编号" numFmtId="0"/>
    <cacheField name="企业标签" numFmtId="0"/>
    <cacheField name="备注" numFmtId="0"/>
    <cacheField name="直担产品" numFmtId="0"/>
    <cacheField name="市再产品" numFmtId="0"/>
    <cacheField name="省再产品" numFmtId="0"/>
    <cacheField name="市再确认时间" numFmtId="0"/>
    <cacheField name="省再确认时间" numFmtId="0"/>
    <cacheField name="国担确认时间" numFmtId="0"/>
    <cacheField name="直担机构提报时间" numFmtId="0"/>
    <cacheField name="提报人员" numFmtId="0"/>
    <cacheField name="市再合规性审查结果" numFmtId="0"/>
    <cacheField name="省再合规性审查结果" numFmtId="0"/>
    <cacheField name="国担合规性审查结果" numFmtId="0"/>
    <cacheField name="合规性审查不通过原因" numFmtId="0"/>
    <cacheField name="在保余额（万元）" numFmtId="0"/>
    <cacheField name="主债权金额（万元）2" numFmtId="0"/>
    <cacheField name="期限（天）" numFmtId="0"/>
    <cacheField name="减免后再担保费率" numFmtId="0"/>
    <cacheField name="减免后应缴再担保费（元）" numFmtId="0"/>
    <cacheField name="原费率" numFmtId="0"/>
    <cacheField name="原费率应缴再担保费（元）" numFmtId="0"/>
    <cacheField name="减免金额（按原费率）" numFmtId="0"/>
    <cacheField name="国担解责金额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"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8"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8"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x v="4294967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1" autoFormatId="1" applyNumberFormats="0" applyBorderFormats="0" applyFontFormats="0" applyPatternFormats="0" applyAlignmentFormats="0" applyWidthHeightFormats="1" dataCaption="值" updatedVersion="8" minRefreshableVersion="3" createdVersion="5" useAutoFormatting="1" compact="0" indent="0" outline="1" compactData="0" outlineData="1" showDrill="true" multipleFieldFilters="0">
  <location ref="A1:C54" firstHeaderRow="0" firstDataRow="1" firstDataCol="1"/>
  <pivotFields count="75">
    <pivotField compact="0" showAll="0"/>
    <pivotField compact="0" showAll="0"/>
    <pivotField compact="0" showAll="0"/>
    <pivotField axis="axisRow" compact="0" showAll="0">
      <items count="53">
        <item x="23"/>
        <item x="22"/>
        <item x="19"/>
        <item x="26"/>
        <item x="43"/>
        <item x="34"/>
        <item x="46"/>
        <item x="1"/>
        <item x="36"/>
        <item x="38"/>
        <item x="48"/>
        <item x="31"/>
        <item x="44"/>
        <item x="47"/>
        <item x="7"/>
        <item x="49"/>
        <item x="6"/>
        <item x="17"/>
        <item x="25"/>
        <item x="45"/>
        <item x="9"/>
        <item x="21"/>
        <item x="20"/>
        <item x="24"/>
        <item x="14"/>
        <item x="16"/>
        <item x="4"/>
        <item x="0"/>
        <item x="35"/>
        <item x="40"/>
        <item x="29"/>
        <item x="50"/>
        <item x="12"/>
        <item x="10"/>
        <item x="39"/>
        <item x="18"/>
        <item x="15"/>
        <item x="3"/>
        <item x="41"/>
        <item x="42"/>
        <item x="32"/>
        <item x="13"/>
        <item x="2"/>
        <item x="28"/>
        <item x="30"/>
        <item x="37"/>
        <item x="27"/>
        <item x="33"/>
        <item x="11"/>
        <item x="8"/>
        <item x="51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</pivotFields>
  <rowFields count="1">
    <field x="3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主债权金额（万元）" fld="30" baseField="0" baseItem="0"/>
    <dataField name="求和项:减免金额（按原费率）" fld="73" baseField="0" baseItem="0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9" cacheId="2" autoFormatId="1" applyNumberFormats="0" applyBorderFormats="0" applyFontFormats="0" applyPatternFormats="0" applyAlignmentFormats="0" applyWidthHeightFormats="1" dataCaption="值" updatedVersion="8" minRefreshableVersion="3" createdVersion="5" useAutoFormatting="1" compact="0" indent="0" outline="1" compactData="0" outlineData="1" showDrill="true" multipleFieldFilters="0">
  <location ref="E1:G36" firstHeaderRow="0" firstDataRow="1" firstDataCol="1"/>
  <pivotFields count="75">
    <pivotField compact="0" showAll="0"/>
    <pivotField compact="0" showAll="0"/>
    <pivotField compact="0" showAll="0"/>
    <pivotField axis="axisRow" compact="0" showAll="0">
      <items count="35">
        <item x="8"/>
        <item x="31"/>
        <item x="30"/>
        <item x="27"/>
        <item x="13"/>
        <item x="4"/>
        <item x="16"/>
        <item x="17"/>
        <item x="5"/>
        <item x="22"/>
        <item x="26"/>
        <item x="3"/>
        <item x="2"/>
        <item x="6"/>
        <item x="12"/>
        <item x="29"/>
        <item x="7"/>
        <item x="14"/>
        <item x="20"/>
        <item x="28"/>
        <item x="0"/>
        <item x="18"/>
        <item x="24"/>
        <item x="23"/>
        <item x="21"/>
        <item x="32"/>
        <item x="15"/>
        <item x="1"/>
        <item x="9"/>
        <item x="25"/>
        <item x="10"/>
        <item x="11"/>
        <item x="33"/>
        <item x="1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</pivotFields>
  <rowFields count="1">
    <field x="3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主债权金额（万元）" fld="30" baseField="0" baseItem="0"/>
    <dataField name="求和项:减免金额（按原费率）" fld="73" baseField="0" baseItem="0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C10" firstHeaderRow="0" firstDataRow="1" firstDataCol="1"/>
  <pivotFields count="73">
    <pivotField compact="0" showAll="0">
      <items count="35">
        <item x="27"/>
        <item x="15"/>
        <item x="14"/>
        <item x="10"/>
        <item x="9"/>
        <item x="30"/>
        <item x="28"/>
        <item x="11"/>
        <item x="12"/>
        <item x="13"/>
        <item x="29"/>
        <item x="31"/>
        <item x="16"/>
        <item x="32"/>
        <item x="3"/>
        <item x="2"/>
        <item x="4"/>
        <item x="5"/>
        <item x="0"/>
        <item x="7"/>
        <item x="33"/>
        <item x="17"/>
        <item x="18"/>
        <item x="1"/>
        <item x="20"/>
        <item x="21"/>
        <item x="22"/>
        <item x="23"/>
        <item x="24"/>
        <item x="19"/>
        <item x="8"/>
        <item x="25"/>
        <item x="26"/>
        <item x="6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axis="axisRow" compact="0" showAll="0">
      <items count="7">
        <item x="2"/>
        <item x="5"/>
        <item x="0"/>
        <item x="4"/>
        <item x="1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compact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compact="0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compact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compact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compact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compact="0" showAll="0">
      <items count="2">
        <item x="0"/>
        <item t="default"/>
      </items>
    </pivotField>
    <pivotField compact="0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compact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compact="0" showAll="0">
      <items count="11">
        <item x="3"/>
        <item x="6"/>
        <item x="2"/>
        <item x="0"/>
        <item x="7"/>
        <item x="9"/>
        <item x="8"/>
        <item x="4"/>
        <item x="1"/>
        <item x="5"/>
        <item t="default"/>
      </items>
    </pivotField>
    <pivotField compact="0" showAll="0">
      <items count="2">
        <item x="0"/>
        <item t="default"/>
      </items>
    </pivotField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compact="0" showAll="0">
      <items count="2">
        <item x="0"/>
        <item t="default"/>
      </items>
    </pivotField>
    <pivotField compact="0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compact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compact="0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numFmtId="10" showAll="0">
      <items count="2">
        <item x="0"/>
        <item t="default"/>
      </items>
    </pivotField>
    <pivotField compact="0" numFmtId="177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compact="0" numFmtId="10" showAll="0">
      <items count="2">
        <item x="0"/>
        <item t="default"/>
      </items>
    </pivotField>
    <pivotField compact="0" numFmtId="177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compact="0" numFmtId="177" showAll="0">
      <items count="20">
        <item x="13"/>
        <item x="6"/>
        <item x="15"/>
        <item x="3"/>
        <item x="8"/>
        <item x="10"/>
        <item x="2"/>
        <item x="0"/>
        <item x="7"/>
        <item x="4"/>
        <item x="11"/>
        <item x="18"/>
        <item x="17"/>
        <item x="5"/>
        <item x="14"/>
        <item x="1"/>
        <item x="16"/>
        <item x="12"/>
        <item x="9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减免金额（按原费率）" fld="72" baseField="0" baseItem="0" numFmtId="177"/>
    <dataField name="求和项:主债权金额（万元）" fld="30" baseField="0" baseItem="0" numFmtId="177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63"/>
  <sheetViews>
    <sheetView zoomScale="50" zoomScaleNormal="50" workbookViewId="0">
      <pane ySplit="4" topLeftCell="A59" activePane="bottomLeft" state="frozen"/>
      <selection/>
      <selection pane="bottomLeft" activeCell="S62" sqref="S62"/>
    </sheetView>
  </sheetViews>
  <sheetFormatPr defaultColWidth="8.88333333333333" defaultRowHeight="22.5"/>
  <cols>
    <col min="1" max="1" width="11.7583333333333" customWidth="true"/>
    <col min="2" max="2" width="65.8833333333333" style="27" customWidth="true"/>
    <col min="3" max="3" width="36.7583333333333" customWidth="true"/>
    <col min="4" max="4" width="26.5" customWidth="true"/>
    <col min="5" max="5" width="31.5" customWidth="true"/>
    <col min="6" max="6" width="29.5" customWidth="true"/>
    <col min="7" max="7" width="29" customWidth="true"/>
    <col min="9" max="9" width="19" style="64" customWidth="true"/>
    <col min="10" max="11" width="19" style="64"/>
    <col min="12" max="12" width="17.2583333333333" style="64"/>
    <col min="13" max="13" width="19" style="64" customWidth="true"/>
    <col min="14" max="14" width="8.88333333333333" style="64"/>
    <col min="15" max="15" width="14" style="64"/>
    <col min="16" max="16" width="20.625" style="64"/>
    <col min="17" max="24" width="8.88333333333333" style="64"/>
  </cols>
  <sheetData>
    <row r="2" ht="89.1" customHeight="true" spans="1:7">
      <c r="A2" s="58" t="s">
        <v>0</v>
      </c>
      <c r="B2" s="58"/>
      <c r="C2" s="58"/>
      <c r="D2" s="58"/>
      <c r="E2" s="58"/>
      <c r="F2" s="58"/>
      <c r="G2" s="58"/>
    </row>
    <row r="3" ht="75" customHeight="true" spans="1:7">
      <c r="A3" s="31" t="s">
        <v>1</v>
      </c>
      <c r="B3" s="31" t="s">
        <v>2</v>
      </c>
      <c r="C3" s="31" t="s">
        <v>3</v>
      </c>
      <c r="D3" s="31"/>
      <c r="E3" s="31"/>
      <c r="F3" s="31"/>
      <c r="G3" s="39" t="s">
        <v>4</v>
      </c>
    </row>
    <row r="4" ht="77.1" customHeight="true" spans="1:7">
      <c r="A4" s="31"/>
      <c r="B4" s="31"/>
      <c r="C4" s="39" t="s">
        <v>5</v>
      </c>
      <c r="D4" s="39" t="s">
        <v>6</v>
      </c>
      <c r="E4" s="39" t="s">
        <v>7</v>
      </c>
      <c r="F4" s="39" t="s">
        <v>6</v>
      </c>
      <c r="G4" s="39"/>
    </row>
    <row r="5" ht="45" customHeight="true" spans="1:22">
      <c r="A5" s="31">
        <v>1</v>
      </c>
      <c r="B5" s="32" t="s">
        <v>8</v>
      </c>
      <c r="C5" s="33">
        <v>236873.70042</v>
      </c>
      <c r="D5" s="33">
        <v>452.08543199999</v>
      </c>
      <c r="E5" s="33">
        <v>8450</v>
      </c>
      <c r="F5" s="33">
        <v>10.984728</v>
      </c>
      <c r="G5" s="40">
        <f>SUM(D5,F5)</f>
        <v>463.07015999999</v>
      </c>
      <c r="I5" s="64">
        <f>VLOOKUP(B5,Sheet1!$A$1:$C$51,2,0)</f>
        <v>236873.70042</v>
      </c>
      <c r="J5" s="64">
        <f>VLOOKUP(B5,Sheet1!$A$1:$C$51,3,0)/10000</f>
        <v>452.085431999998</v>
      </c>
      <c r="K5" s="64">
        <f>VLOOKUP(B5,Sheet1!$G$1:$I$36,2,0)</f>
        <v>8450</v>
      </c>
      <c r="L5" s="64">
        <f>VLOOKUP(B5,Sheet1!$G$1:$I$36,3,0)/10000</f>
        <v>10.984728</v>
      </c>
      <c r="M5" s="64">
        <f>J5+L5</f>
        <v>463.070159999998</v>
      </c>
      <c r="S5" s="64">
        <f>ROUND(C5-I5,0)</f>
        <v>0</v>
      </c>
      <c r="T5" s="64">
        <f>ROUND(D5-J5,0)</f>
        <v>0</v>
      </c>
      <c r="U5" s="64">
        <f>ROUND(E5-K5,0)</f>
        <v>0</v>
      </c>
      <c r="V5" s="64">
        <f>ROUND(F5-L5,0)</f>
        <v>0</v>
      </c>
    </row>
    <row r="6" ht="45" customHeight="true" spans="1:22">
      <c r="A6" s="34">
        <v>2</v>
      </c>
      <c r="B6" s="32" t="s">
        <v>9</v>
      </c>
      <c r="C6" s="33">
        <v>10298.65</v>
      </c>
      <c r="D6" s="33">
        <v>14.934115</v>
      </c>
      <c r="E6" s="33">
        <v>13520</v>
      </c>
      <c r="F6" s="33">
        <v>20.121989</v>
      </c>
      <c r="G6" s="40">
        <f t="shared" ref="G6:G37" si="0">SUM(D6,F6)</f>
        <v>35.056104</v>
      </c>
      <c r="I6" s="64">
        <f>VLOOKUP(B6,Sheet1!$A$1:$C$51,2,0)</f>
        <v>10298.65</v>
      </c>
      <c r="J6" s="64">
        <f>VLOOKUP(B6,Sheet1!$A$1:$C$51,3,0)/10000</f>
        <v>14.934115</v>
      </c>
      <c r="K6" s="64">
        <f>VLOOKUP(B6,Sheet1!$G$1:$I$36,2,0)</f>
        <v>13520</v>
      </c>
      <c r="L6" s="64">
        <f>VLOOKUP(B6,Sheet1!$G$1:$I$36,3,0)/10000</f>
        <v>20.121989</v>
      </c>
      <c r="M6" s="64">
        <f t="shared" ref="M6:M37" si="1">J6+L6</f>
        <v>35.056104</v>
      </c>
      <c r="S6" s="64">
        <f t="shared" ref="S6:S37" si="2">ROUND(C6-I6,0)</f>
        <v>0</v>
      </c>
      <c r="T6" s="64">
        <f t="shared" ref="T6:T37" si="3">ROUND(D6-J6,0)</f>
        <v>0</v>
      </c>
      <c r="U6" s="64">
        <f t="shared" ref="U6:U37" si="4">ROUND(E6-K6,0)</f>
        <v>0</v>
      </c>
      <c r="V6" s="64">
        <f t="shared" ref="V6:V37" si="5">ROUND(F6-L6,0)</f>
        <v>0</v>
      </c>
    </row>
    <row r="7" ht="45" customHeight="true" spans="1:22">
      <c r="A7" s="34">
        <v>3</v>
      </c>
      <c r="B7" s="32" t="s">
        <v>10</v>
      </c>
      <c r="C7" s="33">
        <v>28794</v>
      </c>
      <c r="D7" s="33">
        <v>56.414318</v>
      </c>
      <c r="E7" s="33">
        <v>9190</v>
      </c>
      <c r="F7" s="33">
        <v>13.693358</v>
      </c>
      <c r="G7" s="40">
        <f t="shared" si="0"/>
        <v>70.107676</v>
      </c>
      <c r="I7" s="64">
        <f>VLOOKUP(B7,Sheet1!$A$1:$C$51,2,0)</f>
        <v>28794</v>
      </c>
      <c r="J7" s="64">
        <f>VLOOKUP(B7,Sheet1!$A$1:$C$51,3,0)/10000</f>
        <v>56.414318</v>
      </c>
      <c r="K7" s="64">
        <f>VLOOKUP(B7,Sheet1!$G$1:$I$36,2,0)</f>
        <v>9190</v>
      </c>
      <c r="L7" s="64">
        <f>VLOOKUP(B7,Sheet1!$G$1:$I$36,3,0)/10000</f>
        <v>13.693358</v>
      </c>
      <c r="M7" s="64">
        <f t="shared" si="1"/>
        <v>70.107676</v>
      </c>
      <c r="S7" s="64">
        <f t="shared" si="2"/>
        <v>0</v>
      </c>
      <c r="T7" s="64">
        <f t="shared" si="3"/>
        <v>0</v>
      </c>
      <c r="U7" s="64">
        <f t="shared" si="4"/>
        <v>0</v>
      </c>
      <c r="V7" s="64">
        <f t="shared" si="5"/>
        <v>0</v>
      </c>
    </row>
    <row r="8" ht="45" customHeight="true" spans="1:22">
      <c r="A8" s="34">
        <v>4</v>
      </c>
      <c r="B8" s="32" t="s">
        <v>11</v>
      </c>
      <c r="C8" s="33">
        <v>0</v>
      </c>
      <c r="D8" s="33">
        <v>0</v>
      </c>
      <c r="E8" s="33">
        <v>0</v>
      </c>
      <c r="F8" s="33">
        <v>0</v>
      </c>
      <c r="G8" s="40">
        <f t="shared" si="0"/>
        <v>0</v>
      </c>
      <c r="S8" s="64">
        <f t="shared" si="2"/>
        <v>0</v>
      </c>
      <c r="T8" s="64">
        <f t="shared" si="3"/>
        <v>0</v>
      </c>
      <c r="U8" s="64">
        <f t="shared" si="4"/>
        <v>0</v>
      </c>
      <c r="V8" s="64">
        <f t="shared" si="5"/>
        <v>0</v>
      </c>
    </row>
    <row r="9" ht="45" customHeight="true" spans="1:22">
      <c r="A9" s="34">
        <v>5</v>
      </c>
      <c r="B9" s="32" t="s">
        <v>12</v>
      </c>
      <c r="C9" s="33">
        <v>21749.527369</v>
      </c>
      <c r="D9" s="33">
        <v>42.914748</v>
      </c>
      <c r="E9" s="33">
        <v>24986</v>
      </c>
      <c r="F9" s="33">
        <v>37.276688</v>
      </c>
      <c r="G9" s="40">
        <f t="shared" si="0"/>
        <v>80.191436</v>
      </c>
      <c r="I9" s="64">
        <f>VLOOKUP(B9,Sheet1!$A$1:$C$51,2,0)</f>
        <v>21749.527369</v>
      </c>
      <c r="J9" s="64">
        <f>VLOOKUP(B9,Sheet1!$A$1:$C$51,3,0)/10000</f>
        <v>42.914778</v>
      </c>
      <c r="K9" s="64">
        <f>VLOOKUP(B9,Sheet1!$G$1:$I$36,2,0)</f>
        <v>24986</v>
      </c>
      <c r="L9" s="64">
        <f>VLOOKUP(B9,Sheet1!$G$1:$I$36,3,0)/10000</f>
        <v>37.276688</v>
      </c>
      <c r="M9" s="64">
        <f t="shared" si="1"/>
        <v>80.191466</v>
      </c>
      <c r="S9" s="64">
        <f t="shared" si="2"/>
        <v>0</v>
      </c>
      <c r="T9" s="64">
        <f t="shared" si="3"/>
        <v>0</v>
      </c>
      <c r="U9" s="64">
        <f t="shared" si="4"/>
        <v>0</v>
      </c>
      <c r="V9" s="64">
        <f t="shared" si="5"/>
        <v>0</v>
      </c>
    </row>
    <row r="10" ht="45" customHeight="true" spans="1:22">
      <c r="A10" s="34">
        <v>6</v>
      </c>
      <c r="B10" s="32" t="s">
        <v>13</v>
      </c>
      <c r="C10" s="33">
        <v>7509</v>
      </c>
      <c r="D10" s="33">
        <v>13.120006</v>
      </c>
      <c r="E10" s="33">
        <f>14790-7100</f>
        <v>7690</v>
      </c>
      <c r="F10" s="33">
        <v>11.510756</v>
      </c>
      <c r="G10" s="40">
        <f t="shared" si="0"/>
        <v>24.630762</v>
      </c>
      <c r="I10" s="64">
        <f>VLOOKUP(B10,Sheet1!$A$1:$C$51,2,0)</f>
        <v>7509</v>
      </c>
      <c r="J10" s="64">
        <f>VLOOKUP(B10,Sheet1!$A$1:$C$51,3,0)/10000</f>
        <v>13.12006</v>
      </c>
      <c r="K10" s="64">
        <f>VLOOKUP(B10,Sheet1!$G$1:$I$36,2,0)</f>
        <v>7690</v>
      </c>
      <c r="L10" s="64">
        <f>VLOOKUP(B10,Sheet1!$G$1:$I$36,3,0)/10000</f>
        <v>11.510756</v>
      </c>
      <c r="M10" s="64">
        <f t="shared" si="1"/>
        <v>24.630816</v>
      </c>
      <c r="S10" s="64">
        <f t="shared" si="2"/>
        <v>0</v>
      </c>
      <c r="T10" s="64">
        <f t="shared" si="3"/>
        <v>0</v>
      </c>
      <c r="U10" s="64">
        <f t="shared" si="4"/>
        <v>0</v>
      </c>
      <c r="V10" s="64">
        <f t="shared" si="5"/>
        <v>0</v>
      </c>
    </row>
    <row r="11" ht="45" customHeight="true" spans="1:22">
      <c r="A11" s="34">
        <v>7</v>
      </c>
      <c r="B11" s="32" t="s">
        <v>14</v>
      </c>
      <c r="C11" s="33">
        <v>6022</v>
      </c>
      <c r="D11" s="33">
        <v>11.989479</v>
      </c>
      <c r="E11" s="33">
        <v>2500</v>
      </c>
      <c r="F11" s="33">
        <v>3.684452</v>
      </c>
      <c r="G11" s="40">
        <f t="shared" si="0"/>
        <v>15.673931</v>
      </c>
      <c r="I11" s="64">
        <f>VLOOKUP(B11,Sheet1!$A$1:$C$51,2,0)</f>
        <v>6022</v>
      </c>
      <c r="J11" s="64">
        <f>VLOOKUP(B11,Sheet1!$A$1:$C$51,3,0)/10000</f>
        <v>11.989479</v>
      </c>
      <c r="K11" s="64">
        <f>VLOOKUP(B11,Sheet1!$G$1:$I$36,2,0)</f>
        <v>2500</v>
      </c>
      <c r="L11" s="64">
        <f>VLOOKUP(B11,Sheet1!$G$1:$I$36,3,0)/10000</f>
        <v>3.684452</v>
      </c>
      <c r="M11" s="64">
        <f t="shared" si="1"/>
        <v>15.673931</v>
      </c>
      <c r="S11" s="64">
        <f t="shared" si="2"/>
        <v>0</v>
      </c>
      <c r="T11" s="64">
        <f t="shared" si="3"/>
        <v>0</v>
      </c>
      <c r="U11" s="64">
        <f t="shared" si="4"/>
        <v>0</v>
      </c>
      <c r="V11" s="64">
        <f t="shared" si="5"/>
        <v>0</v>
      </c>
    </row>
    <row r="12" ht="45" customHeight="true" spans="1:22">
      <c r="A12" s="34">
        <v>8</v>
      </c>
      <c r="B12" s="32" t="s">
        <v>15</v>
      </c>
      <c r="C12" s="33">
        <v>13590</v>
      </c>
      <c r="D12" s="33">
        <v>26.883888</v>
      </c>
      <c r="E12" s="33">
        <f>14490-1500-1500</f>
        <v>11490</v>
      </c>
      <c r="F12" s="33">
        <v>17.197851</v>
      </c>
      <c r="G12" s="40">
        <f t="shared" si="0"/>
        <v>44.081739</v>
      </c>
      <c r="I12" s="64">
        <f>VLOOKUP(B12,Sheet1!$A$1:$C$51,2,0)</f>
        <v>13590</v>
      </c>
      <c r="J12" s="64">
        <f>VLOOKUP(B12,Sheet1!$A$1:$C$51,3,0)/10000</f>
        <v>26.883888</v>
      </c>
      <c r="K12" s="64">
        <f>VLOOKUP(B12,Sheet1!$G$1:$I$36,2,0)</f>
        <v>11490</v>
      </c>
      <c r="L12" s="64">
        <f>VLOOKUP(B12,Sheet1!$G$1:$I$36,3,0)/10000</f>
        <v>17.197851</v>
      </c>
      <c r="M12" s="64">
        <f t="shared" si="1"/>
        <v>44.081739</v>
      </c>
      <c r="S12" s="64">
        <f t="shared" si="2"/>
        <v>0</v>
      </c>
      <c r="T12" s="64">
        <f t="shared" si="3"/>
        <v>0</v>
      </c>
      <c r="U12" s="64">
        <f t="shared" si="4"/>
        <v>0</v>
      </c>
      <c r="V12" s="64">
        <f t="shared" si="5"/>
        <v>0</v>
      </c>
    </row>
    <row r="13" ht="45" customHeight="true" spans="1:22">
      <c r="A13" s="34">
        <v>9</v>
      </c>
      <c r="B13" s="32" t="s">
        <v>16</v>
      </c>
      <c r="C13" s="33">
        <v>12499.857628</v>
      </c>
      <c r="D13" s="33">
        <v>24.095688</v>
      </c>
      <c r="E13" s="33">
        <f>6905-1500</f>
        <v>5405</v>
      </c>
      <c r="F13" s="33">
        <v>6.323732</v>
      </c>
      <c r="G13" s="40">
        <f t="shared" si="0"/>
        <v>30.41942</v>
      </c>
      <c r="I13" s="64">
        <f>VLOOKUP(B13,Sheet1!$A$1:$C$51,2,0)</f>
        <v>12499.857628</v>
      </c>
      <c r="J13" s="64">
        <f>VLOOKUP(B13,Sheet1!$A$1:$C$51,3,0)/10000</f>
        <v>24.095688</v>
      </c>
      <c r="K13" s="64">
        <f>VLOOKUP(B13,Sheet1!$G$1:$I$36,2,0)</f>
        <v>5405</v>
      </c>
      <c r="L13" s="64">
        <f>VLOOKUP(B13,Sheet1!$G$1:$I$36,3,0)/10000</f>
        <v>6.323732</v>
      </c>
      <c r="M13" s="64">
        <f t="shared" si="1"/>
        <v>30.41942</v>
      </c>
      <c r="S13" s="64">
        <f t="shared" si="2"/>
        <v>0</v>
      </c>
      <c r="T13" s="64">
        <f t="shared" si="3"/>
        <v>0</v>
      </c>
      <c r="U13" s="64">
        <f t="shared" si="4"/>
        <v>0</v>
      </c>
      <c r="V13" s="64">
        <f t="shared" si="5"/>
        <v>0</v>
      </c>
    </row>
    <row r="14" ht="45" customHeight="true" spans="1:22">
      <c r="A14" s="34">
        <v>10</v>
      </c>
      <c r="B14" s="32" t="s">
        <v>17</v>
      </c>
      <c r="C14" s="33">
        <v>26010</v>
      </c>
      <c r="D14" s="33">
        <v>50.287122</v>
      </c>
      <c r="E14" s="33">
        <v>9750</v>
      </c>
      <c r="F14" s="33">
        <v>15.355071</v>
      </c>
      <c r="G14" s="40">
        <f t="shared" si="0"/>
        <v>65.642193</v>
      </c>
      <c r="I14" s="64">
        <f>VLOOKUP(B14,Sheet1!$A$1:$C$51,2,0)</f>
        <v>26010</v>
      </c>
      <c r="J14" s="64">
        <f>VLOOKUP(B14,Sheet1!$A$1:$C$51,3,0)/10000</f>
        <v>50.287122</v>
      </c>
      <c r="K14" s="64">
        <f>VLOOKUP(B14,Sheet1!$G$1:$I$36,2,0)</f>
        <v>10650</v>
      </c>
      <c r="L14" s="64">
        <f>VLOOKUP(B14,Sheet1!$G$1:$I$36,3,0)/10000</f>
        <v>15.355071</v>
      </c>
      <c r="M14" s="64">
        <f t="shared" si="1"/>
        <v>65.642193</v>
      </c>
      <c r="S14" s="64">
        <f t="shared" si="2"/>
        <v>0</v>
      </c>
      <c r="T14" s="64">
        <f t="shared" si="3"/>
        <v>0</v>
      </c>
      <c r="U14" s="64">
        <f t="shared" si="4"/>
        <v>-900</v>
      </c>
      <c r="V14" s="64">
        <f t="shared" si="5"/>
        <v>0</v>
      </c>
    </row>
    <row r="15" ht="45" customHeight="true" spans="1:22">
      <c r="A15" s="34">
        <v>11</v>
      </c>
      <c r="B15" s="32" t="s">
        <v>18</v>
      </c>
      <c r="C15" s="33">
        <v>11869</v>
      </c>
      <c r="D15" s="33">
        <v>23.448713</v>
      </c>
      <c r="E15" s="33">
        <v>4000</v>
      </c>
      <c r="F15" s="33">
        <v>5.889041</v>
      </c>
      <c r="G15" s="40">
        <f t="shared" si="0"/>
        <v>29.337754</v>
      </c>
      <c r="I15" s="64">
        <f>VLOOKUP(B15,Sheet1!$A$1:$C$51,2,0)</f>
        <v>11869</v>
      </c>
      <c r="J15" s="64">
        <f>VLOOKUP(B15,Sheet1!$A$1:$C$51,3,0)/10000</f>
        <v>23.448713</v>
      </c>
      <c r="K15" s="64">
        <f>VLOOKUP(B15,Sheet1!$G$1:$I$36,2,0)</f>
        <v>4000</v>
      </c>
      <c r="L15" s="64">
        <f>VLOOKUP(B15,Sheet1!$G$1:$I$36,3,0)/10000</f>
        <v>5.889041</v>
      </c>
      <c r="M15" s="64">
        <f t="shared" si="1"/>
        <v>29.337754</v>
      </c>
      <c r="S15" s="64">
        <f t="shared" si="2"/>
        <v>0</v>
      </c>
      <c r="T15" s="64">
        <f t="shared" si="3"/>
        <v>0</v>
      </c>
      <c r="U15" s="64">
        <f t="shared" si="4"/>
        <v>0</v>
      </c>
      <c r="V15" s="64">
        <f t="shared" si="5"/>
        <v>0</v>
      </c>
    </row>
    <row r="16" ht="45" customHeight="true" spans="1:22">
      <c r="A16" s="34">
        <v>12</v>
      </c>
      <c r="B16" s="32" t="s">
        <v>19</v>
      </c>
      <c r="C16" s="33">
        <v>5045</v>
      </c>
      <c r="D16" s="33">
        <v>9.471726</v>
      </c>
      <c r="E16" s="33">
        <v>3430</v>
      </c>
      <c r="F16" s="33">
        <v>3.815959</v>
      </c>
      <c r="G16" s="40">
        <f t="shared" si="0"/>
        <v>13.287685</v>
      </c>
      <c r="I16" s="64">
        <f>VLOOKUP(B16,Sheet1!$A$1:$C$51,2,0)</f>
        <v>5045</v>
      </c>
      <c r="J16" s="64">
        <f>VLOOKUP(B16,Sheet1!$A$1:$C$51,3,0)/10000</f>
        <v>9.471726</v>
      </c>
      <c r="K16" s="64">
        <f>VLOOKUP(B16,Sheet1!$G$1:$I$36,2,0)</f>
        <v>3430</v>
      </c>
      <c r="L16" s="64">
        <f>VLOOKUP(B16,Sheet1!$G$1:$I$36,3,0)/10000</f>
        <v>3.815959</v>
      </c>
      <c r="M16" s="64">
        <f t="shared" si="1"/>
        <v>13.287685</v>
      </c>
      <c r="S16" s="64">
        <f t="shared" si="2"/>
        <v>0</v>
      </c>
      <c r="T16" s="64">
        <f t="shared" si="3"/>
        <v>0</v>
      </c>
      <c r="U16" s="64">
        <f t="shared" si="4"/>
        <v>0</v>
      </c>
      <c r="V16" s="64">
        <f t="shared" si="5"/>
        <v>0</v>
      </c>
    </row>
    <row r="17" ht="45" customHeight="true" spans="1:22">
      <c r="A17" s="34">
        <v>13</v>
      </c>
      <c r="B17" s="32" t="s">
        <v>20</v>
      </c>
      <c r="C17" s="33">
        <v>16637.81</v>
      </c>
      <c r="D17" s="33">
        <v>33.040071</v>
      </c>
      <c r="E17" s="33">
        <f>10550-1300</f>
        <v>9250</v>
      </c>
      <c r="F17" s="33">
        <v>13.786854</v>
      </c>
      <c r="G17" s="40">
        <f t="shared" si="0"/>
        <v>46.826925</v>
      </c>
      <c r="I17" s="64">
        <f>VLOOKUP(B17,Sheet1!$A$1:$C$51,2,0)</f>
        <v>16637.805256</v>
      </c>
      <c r="J17" s="64">
        <f>VLOOKUP(B17,Sheet1!$A$1:$C$51,3,0)/10000</f>
        <v>33.040071</v>
      </c>
      <c r="K17" s="64">
        <f>VLOOKUP(B17,Sheet1!$G$1:$I$36,2,0)</f>
        <v>9250</v>
      </c>
      <c r="L17" s="64">
        <f>VLOOKUP(B17,Sheet1!$G$1:$I$36,3,0)/10000</f>
        <v>13.786854</v>
      </c>
      <c r="M17" s="64">
        <f t="shared" si="1"/>
        <v>46.826925</v>
      </c>
      <c r="S17" s="64">
        <f t="shared" si="2"/>
        <v>0</v>
      </c>
      <c r="T17" s="64">
        <f t="shared" si="3"/>
        <v>0</v>
      </c>
      <c r="U17" s="64">
        <f t="shared" si="4"/>
        <v>0</v>
      </c>
      <c r="V17" s="64">
        <f t="shared" si="5"/>
        <v>0</v>
      </c>
    </row>
    <row r="18" ht="45" customHeight="true" spans="1:22">
      <c r="A18" s="34">
        <v>14</v>
      </c>
      <c r="B18" s="32" t="s">
        <v>21</v>
      </c>
      <c r="C18" s="33">
        <v>234</v>
      </c>
      <c r="D18" s="33">
        <v>0.468</v>
      </c>
      <c r="E18" s="33">
        <v>0</v>
      </c>
      <c r="F18" s="33">
        <v>0</v>
      </c>
      <c r="G18" s="40">
        <f t="shared" si="0"/>
        <v>0.468</v>
      </c>
      <c r="I18" s="64">
        <f>VLOOKUP(B18,Sheet1!$A$1:$C$51,2,0)</f>
        <v>234</v>
      </c>
      <c r="J18" s="64">
        <f>VLOOKUP(B18,Sheet1!$A$1:$C$51,3,0)/10000</f>
        <v>0.468</v>
      </c>
      <c r="M18" s="64">
        <f t="shared" si="1"/>
        <v>0.468</v>
      </c>
      <c r="S18" s="64">
        <f t="shared" si="2"/>
        <v>0</v>
      </c>
      <c r="T18" s="64">
        <f t="shared" si="3"/>
        <v>0</v>
      </c>
      <c r="U18" s="64">
        <f t="shared" si="4"/>
        <v>0</v>
      </c>
      <c r="V18" s="64">
        <f t="shared" si="5"/>
        <v>0</v>
      </c>
    </row>
    <row r="19" ht="45" customHeight="true" spans="1:22">
      <c r="A19" s="34">
        <v>15</v>
      </c>
      <c r="B19" s="32" t="s">
        <v>22</v>
      </c>
      <c r="C19" s="33">
        <v>750</v>
      </c>
      <c r="D19" s="33">
        <v>1.486301</v>
      </c>
      <c r="E19" s="33">
        <v>11830</v>
      </c>
      <c r="F19" s="33">
        <v>17.689932</v>
      </c>
      <c r="G19" s="40">
        <f t="shared" si="0"/>
        <v>19.176233</v>
      </c>
      <c r="I19" s="64">
        <f>VLOOKUP(B19,Sheet1!$A$1:$C$51,2,0)</f>
        <v>750</v>
      </c>
      <c r="J19" s="64">
        <f>VLOOKUP(B19,Sheet1!$A$1:$C$51,3,0)/10000</f>
        <v>1.486301</v>
      </c>
      <c r="K19" s="64">
        <f>VLOOKUP(B19,Sheet1!$G$1:$I$36,2,0)</f>
        <v>11830</v>
      </c>
      <c r="L19" s="64">
        <f>VLOOKUP(B19,Sheet1!$G$1:$I$36,3,0)/10000</f>
        <v>17.689932</v>
      </c>
      <c r="M19" s="64">
        <f t="shared" si="1"/>
        <v>19.176233</v>
      </c>
      <c r="S19" s="64">
        <f t="shared" si="2"/>
        <v>0</v>
      </c>
      <c r="T19" s="64">
        <f t="shared" si="3"/>
        <v>0</v>
      </c>
      <c r="U19" s="64">
        <f t="shared" si="4"/>
        <v>0</v>
      </c>
      <c r="V19" s="64">
        <f t="shared" si="5"/>
        <v>0</v>
      </c>
    </row>
    <row r="20" ht="45" customHeight="true" spans="1:22">
      <c r="A20" s="34">
        <v>16</v>
      </c>
      <c r="B20" s="32" t="s">
        <v>23</v>
      </c>
      <c r="C20" s="33">
        <v>20149</v>
      </c>
      <c r="D20" s="33">
        <v>40.199922</v>
      </c>
      <c r="E20" s="33">
        <v>0</v>
      </c>
      <c r="F20" s="33">
        <v>0</v>
      </c>
      <c r="G20" s="40">
        <f t="shared" si="0"/>
        <v>40.199922</v>
      </c>
      <c r="I20" s="64">
        <f>VLOOKUP(B20,Sheet1!$A$1:$C$51,2,0)</f>
        <v>20149</v>
      </c>
      <c r="J20" s="64">
        <f>VLOOKUP(B20,Sheet1!$A$1:$C$51,3,0)/10000</f>
        <v>40.199922</v>
      </c>
      <c r="M20" s="64">
        <f t="shared" si="1"/>
        <v>40.199922</v>
      </c>
      <c r="S20" s="64">
        <f t="shared" si="2"/>
        <v>0</v>
      </c>
      <c r="T20" s="64">
        <f t="shared" si="3"/>
        <v>0</v>
      </c>
      <c r="U20" s="64">
        <f t="shared" si="4"/>
        <v>0</v>
      </c>
      <c r="V20" s="64">
        <f t="shared" si="5"/>
        <v>0</v>
      </c>
    </row>
    <row r="21" ht="45" customHeight="true" spans="1:22">
      <c r="A21" s="34">
        <v>17</v>
      </c>
      <c r="B21" s="32" t="s">
        <v>24</v>
      </c>
      <c r="C21" s="33">
        <v>8027.7</v>
      </c>
      <c r="D21" s="33">
        <v>16.055465</v>
      </c>
      <c r="E21" s="33">
        <f>17140-5700</f>
        <v>11440</v>
      </c>
      <c r="F21" s="33">
        <v>17.087676</v>
      </c>
      <c r="G21" s="40">
        <f t="shared" si="0"/>
        <v>33.143141</v>
      </c>
      <c r="I21" s="64">
        <f>VLOOKUP(B21,Sheet1!$A$1:$C$51,2,0)</f>
        <v>8027.7</v>
      </c>
      <c r="J21" s="64">
        <f>VLOOKUP(B21,Sheet1!$A$1:$C$51,3,0)/10000</f>
        <v>16.055465</v>
      </c>
      <c r="K21" s="64">
        <f>VLOOKUP(B21,Sheet1!$G$1:$I$36,2,0)</f>
        <v>11440</v>
      </c>
      <c r="L21" s="64">
        <f>VLOOKUP(B21,Sheet1!$G$1:$I$36,3,0)/10000</f>
        <v>17.087676</v>
      </c>
      <c r="M21" s="64">
        <f t="shared" si="1"/>
        <v>33.143141</v>
      </c>
      <c r="S21" s="64">
        <f t="shared" si="2"/>
        <v>0</v>
      </c>
      <c r="T21" s="64">
        <f t="shared" si="3"/>
        <v>0</v>
      </c>
      <c r="U21" s="64">
        <f t="shared" si="4"/>
        <v>0</v>
      </c>
      <c r="V21" s="64">
        <f t="shared" si="5"/>
        <v>0</v>
      </c>
    </row>
    <row r="22" ht="45" customHeight="true" spans="1:22">
      <c r="A22" s="34">
        <v>18</v>
      </c>
      <c r="B22" s="32" t="s">
        <v>25</v>
      </c>
      <c r="C22" s="33">
        <v>10678</v>
      </c>
      <c r="D22" s="33">
        <v>21.143639</v>
      </c>
      <c r="E22" s="33">
        <f>5933-1433</f>
        <v>4500</v>
      </c>
      <c r="F22" s="33">
        <v>6.627946</v>
      </c>
      <c r="G22" s="40">
        <f t="shared" si="0"/>
        <v>27.771585</v>
      </c>
      <c r="I22" s="64">
        <f>VLOOKUP(B22,Sheet1!$A$1:$C$51,2,0)</f>
        <v>10678</v>
      </c>
      <c r="J22" s="64">
        <f>VLOOKUP(B22,Sheet1!$A$1:$C$51,3,0)/10000</f>
        <v>21.143639</v>
      </c>
      <c r="K22" s="64">
        <f>VLOOKUP(B22,Sheet1!$G$1:$I$36,2,0)</f>
        <v>4500</v>
      </c>
      <c r="L22" s="64">
        <f>VLOOKUP(B22,Sheet1!$G$1:$I$36,3,0)/10000</f>
        <v>6.627946</v>
      </c>
      <c r="M22" s="64">
        <f t="shared" si="1"/>
        <v>27.771585</v>
      </c>
      <c r="S22" s="64">
        <f t="shared" si="2"/>
        <v>0</v>
      </c>
      <c r="T22" s="64">
        <f t="shared" si="3"/>
        <v>0</v>
      </c>
      <c r="U22" s="64">
        <f t="shared" si="4"/>
        <v>0</v>
      </c>
      <c r="V22" s="64">
        <f t="shared" si="5"/>
        <v>0</v>
      </c>
    </row>
    <row r="23" ht="45" customHeight="true" spans="1:22">
      <c r="A23" s="34">
        <v>19</v>
      </c>
      <c r="B23" s="32" t="s">
        <v>26</v>
      </c>
      <c r="C23" s="33">
        <v>3475</v>
      </c>
      <c r="D23" s="33">
        <v>6.394409</v>
      </c>
      <c r="E23" s="33">
        <v>0</v>
      </c>
      <c r="F23" s="33">
        <v>0</v>
      </c>
      <c r="G23" s="40">
        <f t="shared" si="0"/>
        <v>6.394409</v>
      </c>
      <c r="I23" s="64">
        <f>VLOOKUP(B23,Sheet1!$A$1:$C$51,2,0)</f>
        <v>3475</v>
      </c>
      <c r="J23" s="64">
        <f>VLOOKUP(B23,Sheet1!$A$1:$C$51,3,0)/10000</f>
        <v>6.394409</v>
      </c>
      <c r="M23" s="64">
        <f t="shared" si="1"/>
        <v>6.394409</v>
      </c>
      <c r="S23" s="64">
        <f t="shared" si="2"/>
        <v>0</v>
      </c>
      <c r="T23" s="64">
        <f t="shared" si="3"/>
        <v>0</v>
      </c>
      <c r="U23" s="64">
        <f t="shared" si="4"/>
        <v>0</v>
      </c>
      <c r="V23" s="64">
        <f t="shared" si="5"/>
        <v>0</v>
      </c>
    </row>
    <row r="24" ht="45" customHeight="true" spans="1:22">
      <c r="A24" s="34">
        <v>20</v>
      </c>
      <c r="B24" s="32" t="s">
        <v>27</v>
      </c>
      <c r="C24" s="33">
        <v>12046</v>
      </c>
      <c r="D24" s="33">
        <v>23.334597</v>
      </c>
      <c r="E24" s="33">
        <v>3929.9566</v>
      </c>
      <c r="F24" s="33">
        <v>5.885278</v>
      </c>
      <c r="G24" s="40">
        <f t="shared" si="0"/>
        <v>29.219875</v>
      </c>
      <c r="I24" s="64">
        <f>VLOOKUP(B24,Sheet1!$A$1:$C$51,2,0)</f>
        <v>12046</v>
      </c>
      <c r="J24" s="64">
        <f>VLOOKUP(B24,Sheet1!$A$1:$C$51,3,0)/10000</f>
        <v>23.334597</v>
      </c>
      <c r="K24" s="64">
        <f>VLOOKUP(B24,Sheet1!$G$1:$I$36,2,0)</f>
        <v>3929.9566</v>
      </c>
      <c r="L24" s="64">
        <f>VLOOKUP(B24,Sheet1!$G$1:$I$36,3,0)/10000</f>
        <v>5.885278</v>
      </c>
      <c r="M24" s="64">
        <f t="shared" si="1"/>
        <v>29.219875</v>
      </c>
      <c r="S24" s="64">
        <f t="shared" si="2"/>
        <v>0</v>
      </c>
      <c r="T24" s="64">
        <f t="shared" si="3"/>
        <v>0</v>
      </c>
      <c r="U24" s="64">
        <f t="shared" si="4"/>
        <v>0</v>
      </c>
      <c r="V24" s="64">
        <f t="shared" si="5"/>
        <v>0</v>
      </c>
    </row>
    <row r="25" ht="45" customHeight="true" spans="1:22">
      <c r="A25" s="34">
        <v>21</v>
      </c>
      <c r="B25" s="32" t="s">
        <v>28</v>
      </c>
      <c r="C25" s="33">
        <v>8670</v>
      </c>
      <c r="D25" s="33">
        <v>17.252875</v>
      </c>
      <c r="E25" s="33">
        <v>2700</v>
      </c>
      <c r="F25" s="33">
        <v>4.025343</v>
      </c>
      <c r="G25" s="40">
        <f t="shared" si="0"/>
        <v>21.278218</v>
      </c>
      <c r="I25" s="64">
        <f>VLOOKUP(B25,Sheet1!$A$1:$C$51,2,0)</f>
        <v>8670</v>
      </c>
      <c r="J25" s="64">
        <f>VLOOKUP(B25,Sheet1!$A$1:$C$51,3,0)/10000</f>
        <v>17.252875</v>
      </c>
      <c r="K25" s="64">
        <f>VLOOKUP(B25,Sheet1!$G$1:$I$36,2,0)</f>
        <v>2700</v>
      </c>
      <c r="L25" s="64">
        <f>VLOOKUP(B25,Sheet1!$G$1:$I$36,3,0)/10000</f>
        <v>4.025343</v>
      </c>
      <c r="M25" s="64">
        <f t="shared" si="1"/>
        <v>21.278218</v>
      </c>
      <c r="O25" s="65" t="s">
        <v>28</v>
      </c>
      <c r="P25" s="32" t="s">
        <v>29</v>
      </c>
      <c r="S25" s="64">
        <f t="shared" si="2"/>
        <v>0</v>
      </c>
      <c r="T25" s="64">
        <f t="shared" si="3"/>
        <v>0</v>
      </c>
      <c r="U25" s="64">
        <f t="shared" si="4"/>
        <v>0</v>
      </c>
      <c r="V25" s="64">
        <f t="shared" si="5"/>
        <v>0</v>
      </c>
    </row>
    <row r="26" ht="45" customHeight="true" spans="1:22">
      <c r="A26" s="34">
        <v>22</v>
      </c>
      <c r="B26" s="32" t="s">
        <v>30</v>
      </c>
      <c r="C26" s="33">
        <v>10420.6</v>
      </c>
      <c r="D26" s="33">
        <v>16.485639</v>
      </c>
      <c r="E26" s="33">
        <v>0</v>
      </c>
      <c r="F26" s="33">
        <v>0</v>
      </c>
      <c r="G26" s="40">
        <f t="shared" si="0"/>
        <v>16.485639</v>
      </c>
      <c r="I26" s="64">
        <f>VLOOKUP(B26,Sheet1!$A$1:$C$51,2,0)</f>
        <v>10420.6</v>
      </c>
      <c r="J26" s="64">
        <f>VLOOKUP(B26,Sheet1!$A$1:$C$51,3,0)/10000</f>
        <v>16.485639</v>
      </c>
      <c r="M26" s="64">
        <f t="shared" si="1"/>
        <v>16.485639</v>
      </c>
      <c r="S26" s="64">
        <f t="shared" si="2"/>
        <v>0</v>
      </c>
      <c r="T26" s="64">
        <f t="shared" si="3"/>
        <v>0</v>
      </c>
      <c r="U26" s="64">
        <f t="shared" si="4"/>
        <v>0</v>
      </c>
      <c r="V26" s="64">
        <f t="shared" si="5"/>
        <v>0</v>
      </c>
    </row>
    <row r="27" ht="45" customHeight="true" spans="1:22">
      <c r="A27" s="34">
        <v>23</v>
      </c>
      <c r="B27" s="32" t="s">
        <v>31</v>
      </c>
      <c r="C27" s="33">
        <v>1240</v>
      </c>
      <c r="D27" s="33">
        <v>3.173699</v>
      </c>
      <c r="E27" s="33">
        <v>0</v>
      </c>
      <c r="F27" s="33">
        <v>0</v>
      </c>
      <c r="G27" s="40">
        <f t="shared" si="0"/>
        <v>3.173699</v>
      </c>
      <c r="I27" s="64">
        <f>VLOOKUP(B27,Sheet1!$A$1:$C$51,2,0)</f>
        <v>1240</v>
      </c>
      <c r="J27" s="64">
        <f>VLOOKUP(B27,Sheet1!$A$1:$C$51,3,0)/10000</f>
        <v>3.173699</v>
      </c>
      <c r="M27" s="64">
        <f t="shared" si="1"/>
        <v>3.173699</v>
      </c>
      <c r="S27" s="64">
        <f t="shared" si="2"/>
        <v>0</v>
      </c>
      <c r="T27" s="64">
        <f t="shared" si="3"/>
        <v>0</v>
      </c>
      <c r="U27" s="64">
        <f t="shared" si="4"/>
        <v>0</v>
      </c>
      <c r="V27" s="64">
        <f t="shared" si="5"/>
        <v>0</v>
      </c>
    </row>
    <row r="28" ht="45" customHeight="true" spans="1:22">
      <c r="A28" s="34">
        <v>24</v>
      </c>
      <c r="B28" s="32" t="s">
        <v>32</v>
      </c>
      <c r="C28" s="33">
        <v>710</v>
      </c>
      <c r="D28" s="33">
        <v>1.41726</v>
      </c>
      <c r="E28" s="33">
        <v>0</v>
      </c>
      <c r="F28" s="33">
        <v>0</v>
      </c>
      <c r="G28" s="40">
        <f t="shared" si="0"/>
        <v>1.41726</v>
      </c>
      <c r="I28" s="64">
        <f>VLOOKUP(B28,Sheet1!$A$1:$C$51,2,0)</f>
        <v>710</v>
      </c>
      <c r="J28" s="64">
        <f>VLOOKUP(B28,Sheet1!$A$1:$C$51,3,0)/10000</f>
        <v>1.41726</v>
      </c>
      <c r="M28" s="64">
        <f t="shared" si="1"/>
        <v>1.41726</v>
      </c>
      <c r="S28" s="64">
        <f t="shared" si="2"/>
        <v>0</v>
      </c>
      <c r="T28" s="64">
        <f t="shared" si="3"/>
        <v>0</v>
      </c>
      <c r="U28" s="64">
        <f t="shared" si="4"/>
        <v>0</v>
      </c>
      <c r="V28" s="64">
        <f t="shared" si="5"/>
        <v>0</v>
      </c>
    </row>
    <row r="29" ht="45" customHeight="true" spans="1:22">
      <c r="A29" s="34">
        <v>25</v>
      </c>
      <c r="B29" s="32" t="s">
        <v>33</v>
      </c>
      <c r="C29" s="33">
        <v>3095</v>
      </c>
      <c r="D29" s="33">
        <v>6.032219</v>
      </c>
      <c r="E29" s="33">
        <v>2560</v>
      </c>
      <c r="F29" s="33">
        <v>3.84</v>
      </c>
      <c r="G29" s="40">
        <f t="shared" si="0"/>
        <v>9.872219</v>
      </c>
      <c r="I29" s="64">
        <f>VLOOKUP(B29,Sheet1!$A$1:$C$51,2,0)</f>
        <v>3095</v>
      </c>
      <c r="J29" s="64">
        <f>VLOOKUP(B29,Sheet1!$A$1:$C$51,3,0)/10000</f>
        <v>6.032219</v>
      </c>
      <c r="K29" s="64">
        <f>VLOOKUP(B29,Sheet1!$G$1:$I$36,2,0)</f>
        <v>2560</v>
      </c>
      <c r="L29" s="64">
        <f>VLOOKUP(B29,Sheet1!$G$1:$I$36,3,0)/10000</f>
        <v>3.84</v>
      </c>
      <c r="M29" s="64">
        <f t="shared" si="1"/>
        <v>9.872219</v>
      </c>
      <c r="O29" s="64" t="s">
        <v>34</v>
      </c>
      <c r="P29" s="66" t="s">
        <v>33</v>
      </c>
      <c r="S29" s="64">
        <f t="shared" si="2"/>
        <v>0</v>
      </c>
      <c r="T29" s="64">
        <f t="shared" si="3"/>
        <v>0</v>
      </c>
      <c r="U29" s="64">
        <f t="shared" si="4"/>
        <v>0</v>
      </c>
      <c r="V29" s="64">
        <f t="shared" si="5"/>
        <v>0</v>
      </c>
    </row>
    <row r="30" ht="45" customHeight="true" spans="1:22">
      <c r="A30" s="34">
        <v>26</v>
      </c>
      <c r="B30" s="32" t="s">
        <v>35</v>
      </c>
      <c r="C30" s="33">
        <v>0</v>
      </c>
      <c r="D30" s="33">
        <v>0</v>
      </c>
      <c r="E30" s="33">
        <v>0</v>
      </c>
      <c r="F30" s="33">
        <v>0</v>
      </c>
      <c r="G30" s="40">
        <f t="shared" si="0"/>
        <v>0</v>
      </c>
      <c r="M30" s="64">
        <f t="shared" si="1"/>
        <v>0</v>
      </c>
      <c r="S30" s="64">
        <f t="shared" si="2"/>
        <v>0</v>
      </c>
      <c r="T30" s="64">
        <f t="shared" si="3"/>
        <v>0</v>
      </c>
      <c r="U30" s="64">
        <f t="shared" si="4"/>
        <v>0</v>
      </c>
      <c r="V30" s="64">
        <f t="shared" si="5"/>
        <v>0</v>
      </c>
    </row>
    <row r="31" ht="45" customHeight="true" spans="1:22">
      <c r="A31" s="34">
        <v>27</v>
      </c>
      <c r="B31" s="32" t="s">
        <v>36</v>
      </c>
      <c r="C31" s="33">
        <v>8070</v>
      </c>
      <c r="D31" s="33">
        <v>15.880656</v>
      </c>
      <c r="E31" s="33">
        <v>5660</v>
      </c>
      <c r="F31" s="33">
        <v>8.453878</v>
      </c>
      <c r="G31" s="40">
        <f t="shared" si="0"/>
        <v>24.334534</v>
      </c>
      <c r="I31" s="64">
        <f>VLOOKUP(B31,Sheet1!$A$1:$C$51,2,0)</f>
        <v>8070</v>
      </c>
      <c r="J31" s="64">
        <f>VLOOKUP(B31,Sheet1!$A$1:$C$51,3,0)/10000</f>
        <v>15.880656</v>
      </c>
      <c r="K31" s="64">
        <f>VLOOKUP(B31,Sheet1!$G$1:$I$36,2,0)</f>
        <v>5660</v>
      </c>
      <c r="L31" s="64">
        <f>VLOOKUP(B31,Sheet1!$G$1:$I$36,3,0)/10000</f>
        <v>8.453878</v>
      </c>
      <c r="M31" s="64">
        <f t="shared" si="1"/>
        <v>24.334534</v>
      </c>
      <c r="S31" s="64">
        <f t="shared" si="2"/>
        <v>0</v>
      </c>
      <c r="T31" s="64">
        <f t="shared" si="3"/>
        <v>0</v>
      </c>
      <c r="U31" s="64">
        <f t="shared" si="4"/>
        <v>0</v>
      </c>
      <c r="V31" s="64">
        <f t="shared" si="5"/>
        <v>0</v>
      </c>
    </row>
    <row r="32" ht="45" customHeight="true" spans="1:22">
      <c r="A32" s="34">
        <v>28</v>
      </c>
      <c r="B32" s="32" t="s">
        <v>37</v>
      </c>
      <c r="C32" s="33">
        <v>4248</v>
      </c>
      <c r="D32" s="33">
        <v>8.492</v>
      </c>
      <c r="E32" s="33">
        <v>0</v>
      </c>
      <c r="F32" s="33">
        <v>0</v>
      </c>
      <c r="G32" s="40">
        <f t="shared" si="0"/>
        <v>8.492</v>
      </c>
      <c r="I32" s="64">
        <f>VLOOKUP(B32,Sheet1!$A$1:$C$51,2,0)</f>
        <v>4248</v>
      </c>
      <c r="J32" s="64">
        <f>VLOOKUP(B32,Sheet1!$A$1:$C$51,3,0)/10000</f>
        <v>8.492</v>
      </c>
      <c r="M32" s="64">
        <f t="shared" si="1"/>
        <v>8.492</v>
      </c>
      <c r="S32" s="64">
        <f t="shared" si="2"/>
        <v>0</v>
      </c>
      <c r="T32" s="64">
        <f t="shared" si="3"/>
        <v>0</v>
      </c>
      <c r="U32" s="64">
        <f t="shared" si="4"/>
        <v>0</v>
      </c>
      <c r="V32" s="64">
        <f t="shared" si="5"/>
        <v>0</v>
      </c>
    </row>
    <row r="33" ht="45" customHeight="true" spans="1:22">
      <c r="A33" s="34">
        <v>29</v>
      </c>
      <c r="B33" s="32" t="s">
        <v>38</v>
      </c>
      <c r="C33" s="33">
        <v>6738.982</v>
      </c>
      <c r="D33" s="33">
        <v>13.037428</v>
      </c>
      <c r="E33" s="33">
        <v>3750</v>
      </c>
      <c r="F33" s="33">
        <v>6.257467</v>
      </c>
      <c r="G33" s="40">
        <f t="shared" si="0"/>
        <v>19.294895</v>
      </c>
      <c r="I33" s="64">
        <f>VLOOKUP(B33,Sheet1!$A$1:$C$51,2,0)</f>
        <v>6738.982</v>
      </c>
      <c r="J33" s="64">
        <f>VLOOKUP(B33,Sheet1!$A$1:$C$51,3,0)/10000</f>
        <v>13.037428</v>
      </c>
      <c r="K33" s="64">
        <f>VLOOKUP(B33,Sheet1!$G$1:$I$36,2,0)</f>
        <v>3750</v>
      </c>
      <c r="L33" s="64">
        <f>VLOOKUP(B33,Sheet1!$G$1:$I$36,3,0)/10000</f>
        <v>6.257467</v>
      </c>
      <c r="M33" s="64">
        <f t="shared" si="1"/>
        <v>19.294895</v>
      </c>
      <c r="S33" s="64">
        <f t="shared" si="2"/>
        <v>0</v>
      </c>
      <c r="T33" s="64">
        <f t="shared" si="3"/>
        <v>0</v>
      </c>
      <c r="U33" s="64">
        <f t="shared" si="4"/>
        <v>0</v>
      </c>
      <c r="V33" s="64">
        <f t="shared" si="5"/>
        <v>0</v>
      </c>
    </row>
    <row r="34" ht="45" customHeight="true" spans="1:22">
      <c r="A34" s="34">
        <v>30</v>
      </c>
      <c r="B34" s="32" t="s">
        <v>39</v>
      </c>
      <c r="C34" s="33">
        <v>10164</v>
      </c>
      <c r="D34" s="33">
        <v>19.871509</v>
      </c>
      <c r="E34" s="33">
        <v>3400</v>
      </c>
      <c r="F34" s="33">
        <v>5.334246</v>
      </c>
      <c r="G34" s="40">
        <f t="shared" si="0"/>
        <v>25.205755</v>
      </c>
      <c r="I34" s="64">
        <f>VLOOKUP(B34,Sheet1!$A$1:$C$51,2,0)</f>
        <v>10164</v>
      </c>
      <c r="J34" s="64">
        <f>VLOOKUP(B34,Sheet1!$A$1:$C$51,3,0)/10000</f>
        <v>19.871509</v>
      </c>
      <c r="K34" s="64">
        <f>VLOOKUP(B34,Sheet1!$G$1:$I$36,2,0)</f>
        <v>3400</v>
      </c>
      <c r="L34" s="64">
        <f>VLOOKUP(B34,Sheet1!$G$1:$I$36,3,0)/10000</f>
        <v>5.334246</v>
      </c>
      <c r="M34" s="64">
        <f t="shared" si="1"/>
        <v>25.205755</v>
      </c>
      <c r="S34" s="64">
        <f t="shared" si="2"/>
        <v>0</v>
      </c>
      <c r="T34" s="64">
        <f t="shared" si="3"/>
        <v>0</v>
      </c>
      <c r="U34" s="64">
        <f t="shared" si="4"/>
        <v>0</v>
      </c>
      <c r="V34" s="64">
        <f t="shared" si="5"/>
        <v>0</v>
      </c>
    </row>
    <row r="35" ht="45" customHeight="true" spans="1:22">
      <c r="A35" s="34">
        <v>31</v>
      </c>
      <c r="B35" s="32" t="s">
        <v>40</v>
      </c>
      <c r="C35" s="33">
        <v>4170</v>
      </c>
      <c r="D35" s="33">
        <v>7.934355</v>
      </c>
      <c r="E35" s="33">
        <v>3800</v>
      </c>
      <c r="F35" s="33">
        <v>5.676165</v>
      </c>
      <c r="G35" s="40">
        <f t="shared" si="0"/>
        <v>13.61052</v>
      </c>
      <c r="I35" s="64">
        <f>VLOOKUP(B35,Sheet1!$A$1:$C$51,2,0)</f>
        <v>4170</v>
      </c>
      <c r="J35" s="64">
        <f>VLOOKUP(B35,Sheet1!$A$1:$C$51,3,0)/10000</f>
        <v>7.934355</v>
      </c>
      <c r="K35" s="64">
        <f>VLOOKUP(B35,Sheet1!$G$1:$I$36,2,0)</f>
        <v>3800</v>
      </c>
      <c r="L35" s="64">
        <f>VLOOKUP(B35,Sheet1!$G$1:$I$36,3,0)/10000</f>
        <v>5.676165</v>
      </c>
      <c r="M35" s="64">
        <f t="shared" si="1"/>
        <v>13.61052</v>
      </c>
      <c r="S35" s="64">
        <f t="shared" si="2"/>
        <v>0</v>
      </c>
      <c r="T35" s="64">
        <f t="shared" si="3"/>
        <v>0</v>
      </c>
      <c r="U35" s="64">
        <f t="shared" si="4"/>
        <v>0</v>
      </c>
      <c r="V35" s="64">
        <f t="shared" si="5"/>
        <v>0</v>
      </c>
    </row>
    <row r="36" ht="45" customHeight="true" spans="1:22">
      <c r="A36" s="34">
        <v>32</v>
      </c>
      <c r="B36" s="32" t="s">
        <v>41</v>
      </c>
      <c r="C36" s="33">
        <v>1778</v>
      </c>
      <c r="D36" s="33">
        <v>3.469107</v>
      </c>
      <c r="E36" s="33">
        <v>1300</v>
      </c>
      <c r="F36" s="33">
        <v>1.946754</v>
      </c>
      <c r="G36" s="40">
        <f t="shared" si="0"/>
        <v>5.415861</v>
      </c>
      <c r="I36" s="64">
        <f>VLOOKUP(B36,Sheet1!$A$1:$C$51,2,0)</f>
        <v>1778</v>
      </c>
      <c r="J36" s="64">
        <f>VLOOKUP(B36,Sheet1!$A$1:$C$51,3,0)/10000</f>
        <v>3.469107</v>
      </c>
      <c r="K36" s="64">
        <f>VLOOKUP(B36,Sheet1!$G$1:$I$36,2,0)</f>
        <v>1300</v>
      </c>
      <c r="L36" s="64">
        <f>VLOOKUP(B36,Sheet1!$G$1:$I$36,3,0)/10000</f>
        <v>1.946754</v>
      </c>
      <c r="M36" s="64">
        <f t="shared" si="1"/>
        <v>5.415861</v>
      </c>
      <c r="S36" s="64">
        <f t="shared" si="2"/>
        <v>0</v>
      </c>
      <c r="T36" s="64">
        <f t="shared" si="3"/>
        <v>0</v>
      </c>
      <c r="U36" s="64">
        <f t="shared" si="4"/>
        <v>0</v>
      </c>
      <c r="V36" s="64">
        <f t="shared" si="5"/>
        <v>0</v>
      </c>
    </row>
    <row r="37" ht="45" customHeight="true" spans="1:22">
      <c r="A37" s="34">
        <v>33</v>
      </c>
      <c r="B37" s="32" t="s">
        <v>42</v>
      </c>
      <c r="C37" s="33">
        <v>4723.68</v>
      </c>
      <c r="D37" s="33">
        <v>8.602571</v>
      </c>
      <c r="E37" s="33">
        <v>11100</v>
      </c>
      <c r="F37" s="33">
        <v>16.623701</v>
      </c>
      <c r="G37" s="40">
        <f t="shared" si="0"/>
        <v>25.226272</v>
      </c>
      <c r="I37" s="64">
        <f>VLOOKUP(B37,Sheet1!$A$1:$C$51,2,0)</f>
        <v>4723.683506</v>
      </c>
      <c r="J37" s="64">
        <f>VLOOKUP(B37,Sheet1!$A$1:$C$51,3,0)/10000</f>
        <v>8.602571</v>
      </c>
      <c r="K37" s="64">
        <f>VLOOKUP(B37,Sheet1!$G$1:$I$36,2,0)</f>
        <v>11100</v>
      </c>
      <c r="L37" s="64">
        <f>VLOOKUP(B37,Sheet1!$G$1:$I$36,3,0)/10000</f>
        <v>16.623701</v>
      </c>
      <c r="M37" s="64">
        <f t="shared" si="1"/>
        <v>25.226272</v>
      </c>
      <c r="O37" s="67" t="s">
        <v>42</v>
      </c>
      <c r="P37" s="32" t="s">
        <v>43</v>
      </c>
      <c r="S37" s="64">
        <f t="shared" si="2"/>
        <v>0</v>
      </c>
      <c r="T37" s="64">
        <f t="shared" si="3"/>
        <v>0</v>
      </c>
      <c r="U37" s="64">
        <f t="shared" si="4"/>
        <v>0</v>
      </c>
      <c r="V37" s="64">
        <f t="shared" si="5"/>
        <v>0</v>
      </c>
    </row>
    <row r="38" ht="45" customHeight="true" spans="1:22">
      <c r="A38" s="34">
        <v>34</v>
      </c>
      <c r="B38" s="32" t="s">
        <v>44</v>
      </c>
      <c r="C38" s="33">
        <v>2806</v>
      </c>
      <c r="D38" s="33">
        <v>5.601697</v>
      </c>
      <c r="E38" s="33">
        <v>3700</v>
      </c>
      <c r="F38" s="33">
        <v>4.841507</v>
      </c>
      <c r="G38" s="40">
        <f t="shared" ref="G38:G61" si="6">SUM(D38,F38)</f>
        <v>10.443204</v>
      </c>
      <c r="I38" s="64">
        <f>VLOOKUP(B38,Sheet1!$A$1:$C$51,2,0)</f>
        <v>2806</v>
      </c>
      <c r="J38" s="64">
        <f>VLOOKUP(B38,Sheet1!$A$1:$C$51,3,0)/10000</f>
        <v>5.601697</v>
      </c>
      <c r="K38" s="64">
        <f>VLOOKUP(B38,Sheet1!$G$1:$I$36,2,0)</f>
        <v>3700</v>
      </c>
      <c r="L38" s="64">
        <f>VLOOKUP(B38,Sheet1!$G$1:$I$36,3,0)/10000</f>
        <v>4.841507</v>
      </c>
      <c r="M38" s="64">
        <f t="shared" ref="M38:M61" si="7">J38+L38</f>
        <v>10.443204</v>
      </c>
      <c r="S38" s="64">
        <f t="shared" ref="S38:S62" si="8">ROUND(C38-I38,0)</f>
        <v>0</v>
      </c>
      <c r="T38" s="64">
        <f t="shared" ref="T38:T62" si="9">ROUND(D38-J38,0)</f>
        <v>0</v>
      </c>
      <c r="U38" s="64">
        <f t="shared" ref="U38:U62" si="10">ROUND(E38-K38,0)</f>
        <v>0</v>
      </c>
      <c r="V38" s="64">
        <f t="shared" ref="V38:V62" si="11">ROUND(F38-L38,0)</f>
        <v>0</v>
      </c>
    </row>
    <row r="39" ht="45" customHeight="true" spans="1:22">
      <c r="A39" s="34">
        <v>35</v>
      </c>
      <c r="B39" s="32" t="s">
        <v>45</v>
      </c>
      <c r="C39" s="33">
        <v>10</v>
      </c>
      <c r="D39" s="33">
        <v>0.02</v>
      </c>
      <c r="E39" s="33">
        <v>0</v>
      </c>
      <c r="F39" s="33">
        <v>0</v>
      </c>
      <c r="G39" s="40">
        <f t="shared" si="6"/>
        <v>0.02</v>
      </c>
      <c r="I39" s="64">
        <f>VLOOKUP(B39,Sheet1!$A$1:$C$51,2,0)</f>
        <v>10</v>
      </c>
      <c r="J39" s="64">
        <f>VLOOKUP(B39,Sheet1!$A$1:$C$51,3,0)/10000</f>
        <v>0.02</v>
      </c>
      <c r="M39" s="64">
        <f t="shared" si="7"/>
        <v>0.02</v>
      </c>
      <c r="S39" s="64">
        <f t="shared" si="8"/>
        <v>0</v>
      </c>
      <c r="T39" s="64">
        <f t="shared" si="9"/>
        <v>0</v>
      </c>
      <c r="U39" s="64">
        <f t="shared" si="10"/>
        <v>0</v>
      </c>
      <c r="V39" s="64">
        <f t="shared" si="11"/>
        <v>0</v>
      </c>
    </row>
    <row r="40" ht="45" customHeight="true" spans="1:22">
      <c r="A40" s="34">
        <v>36</v>
      </c>
      <c r="B40" s="32" t="s">
        <v>46</v>
      </c>
      <c r="C40" s="33">
        <v>970</v>
      </c>
      <c r="D40" s="33">
        <v>1.934685</v>
      </c>
      <c r="E40" s="33">
        <v>0</v>
      </c>
      <c r="F40" s="33">
        <v>0</v>
      </c>
      <c r="G40" s="40">
        <f t="shared" si="6"/>
        <v>1.934685</v>
      </c>
      <c r="I40" s="64">
        <f>VLOOKUP(B40,Sheet1!$A$1:$C$51,2,0)</f>
        <v>970</v>
      </c>
      <c r="J40" s="64">
        <f>VLOOKUP(B40,Sheet1!$A$1:$C$51,3,0)/10000</f>
        <v>1.934685</v>
      </c>
      <c r="M40" s="64">
        <f t="shared" si="7"/>
        <v>1.934685</v>
      </c>
      <c r="S40" s="64">
        <f t="shared" si="8"/>
        <v>0</v>
      </c>
      <c r="T40" s="64">
        <f t="shared" si="9"/>
        <v>0</v>
      </c>
      <c r="U40" s="64">
        <f t="shared" si="10"/>
        <v>0</v>
      </c>
      <c r="V40" s="64">
        <f t="shared" si="11"/>
        <v>0</v>
      </c>
    </row>
    <row r="41" ht="45" customHeight="true" spans="1:22">
      <c r="A41" s="34">
        <v>37</v>
      </c>
      <c r="B41" s="32" t="s">
        <v>47</v>
      </c>
      <c r="C41" s="33">
        <v>4100.5982</v>
      </c>
      <c r="D41" s="33">
        <v>8.078018</v>
      </c>
      <c r="E41" s="33">
        <v>4150</v>
      </c>
      <c r="F41" s="33">
        <v>5.461233</v>
      </c>
      <c r="G41" s="40">
        <f t="shared" si="6"/>
        <v>13.539251</v>
      </c>
      <c r="I41" s="64">
        <f>VLOOKUP(B41,Sheet1!$A$1:$C$51,2,0)</f>
        <v>4100.5982</v>
      </c>
      <c r="J41" s="64">
        <f>VLOOKUP(B41,Sheet1!$A$1:$C$51,3,0)/10000</f>
        <v>8.078018</v>
      </c>
      <c r="K41" s="64">
        <f>VLOOKUP(B41,Sheet1!$G$1:$I$36,2,0)</f>
        <v>4150</v>
      </c>
      <c r="L41" s="64">
        <f>VLOOKUP(B41,Sheet1!$G$1:$I$36,3,0)/10000</f>
        <v>5.461233</v>
      </c>
      <c r="M41" s="64">
        <f t="shared" si="7"/>
        <v>13.539251</v>
      </c>
      <c r="S41" s="64">
        <f t="shared" si="8"/>
        <v>0</v>
      </c>
      <c r="T41" s="64">
        <f t="shared" si="9"/>
        <v>0</v>
      </c>
      <c r="U41" s="64">
        <f t="shared" si="10"/>
        <v>0</v>
      </c>
      <c r="V41" s="64">
        <f t="shared" si="11"/>
        <v>0</v>
      </c>
    </row>
    <row r="42" ht="45" customHeight="true" spans="1:22">
      <c r="A42" s="34">
        <v>38</v>
      </c>
      <c r="B42" s="32" t="s">
        <v>48</v>
      </c>
      <c r="C42" s="33">
        <v>6615</v>
      </c>
      <c r="D42" s="33">
        <v>13.029276</v>
      </c>
      <c r="E42" s="33">
        <v>2400</v>
      </c>
      <c r="F42" s="33">
        <v>3.58685</v>
      </c>
      <c r="G42" s="40">
        <f t="shared" si="6"/>
        <v>16.616126</v>
      </c>
      <c r="I42" s="64">
        <f>VLOOKUP(B42,Sheet1!$A$1:$C$51,2,0)</f>
        <v>6615</v>
      </c>
      <c r="J42" s="64">
        <f>VLOOKUP(B42,Sheet1!$A$1:$C$51,3,0)/10000</f>
        <v>13.029276</v>
      </c>
      <c r="K42" s="64">
        <f>VLOOKUP(B42,Sheet1!$G$1:$I$36,2,0)</f>
        <v>2400</v>
      </c>
      <c r="L42" s="64">
        <f>VLOOKUP(B42,Sheet1!$G$1:$I$36,3,0)/10000</f>
        <v>3.58685</v>
      </c>
      <c r="M42" s="64">
        <f t="shared" si="7"/>
        <v>16.616126</v>
      </c>
      <c r="S42" s="64">
        <f t="shared" si="8"/>
        <v>0</v>
      </c>
      <c r="T42" s="64">
        <f t="shared" si="9"/>
        <v>0</v>
      </c>
      <c r="U42" s="64">
        <f t="shared" si="10"/>
        <v>0</v>
      </c>
      <c r="V42" s="64">
        <f t="shared" si="11"/>
        <v>0</v>
      </c>
    </row>
    <row r="43" ht="45" customHeight="true" spans="1:22">
      <c r="A43" s="34">
        <v>39</v>
      </c>
      <c r="B43" s="32" t="s">
        <v>49</v>
      </c>
      <c r="C43" s="33">
        <v>0</v>
      </c>
      <c r="D43" s="33">
        <v>0</v>
      </c>
      <c r="E43" s="33">
        <v>0</v>
      </c>
      <c r="F43" s="33">
        <v>0</v>
      </c>
      <c r="G43" s="40">
        <f t="shared" si="6"/>
        <v>0</v>
      </c>
      <c r="M43" s="64">
        <f t="shared" si="7"/>
        <v>0</v>
      </c>
      <c r="S43" s="64">
        <f t="shared" si="8"/>
        <v>0</v>
      </c>
      <c r="T43" s="64">
        <f t="shared" si="9"/>
        <v>0</v>
      </c>
      <c r="U43" s="64">
        <f t="shared" si="10"/>
        <v>0</v>
      </c>
      <c r="V43" s="64">
        <f t="shared" si="11"/>
        <v>0</v>
      </c>
    </row>
    <row r="44" ht="54.95" customHeight="true" spans="1:22">
      <c r="A44" s="34">
        <v>40</v>
      </c>
      <c r="B44" s="32" t="s">
        <v>50</v>
      </c>
      <c r="C44" s="33">
        <v>8186</v>
      </c>
      <c r="D44" s="33">
        <v>16.16915</v>
      </c>
      <c r="E44" s="33">
        <v>0</v>
      </c>
      <c r="F44" s="33">
        <v>0</v>
      </c>
      <c r="G44" s="40">
        <f t="shared" si="6"/>
        <v>16.16915</v>
      </c>
      <c r="I44" s="64">
        <f>VLOOKUP(B44,Sheet1!$A$1:$C$51,2,0)</f>
        <v>8160</v>
      </c>
      <c r="J44" s="64">
        <f>VLOOKUP(B44,Sheet1!$A$1:$C$51,3,0)/10000</f>
        <v>16.16915</v>
      </c>
      <c r="M44" s="64">
        <f t="shared" si="7"/>
        <v>16.16915</v>
      </c>
      <c r="S44" s="64">
        <f t="shared" si="8"/>
        <v>26</v>
      </c>
      <c r="T44" s="64">
        <f t="shared" si="9"/>
        <v>0</v>
      </c>
      <c r="U44" s="64">
        <f t="shared" si="10"/>
        <v>0</v>
      </c>
      <c r="V44" s="64">
        <f t="shared" si="11"/>
        <v>0</v>
      </c>
    </row>
    <row r="45" ht="45" customHeight="true" spans="1:22">
      <c r="A45" s="34">
        <v>41</v>
      </c>
      <c r="B45" s="32" t="s">
        <v>51</v>
      </c>
      <c r="C45" s="33">
        <v>4947.97</v>
      </c>
      <c r="D45" s="33">
        <v>9.337207</v>
      </c>
      <c r="E45" s="33">
        <v>889</v>
      </c>
      <c r="F45" s="33">
        <v>1.329846</v>
      </c>
      <c r="G45" s="40">
        <f t="shared" si="6"/>
        <v>10.667053</v>
      </c>
      <c r="I45" s="64">
        <f>VLOOKUP(B45,Sheet1!$A$1:$C$51,2,0)</f>
        <v>4947.969252</v>
      </c>
      <c r="J45" s="64">
        <f>VLOOKUP(B45,Sheet1!$A$1:$C$51,3,0)/10000</f>
        <v>9.337207</v>
      </c>
      <c r="K45" s="64">
        <f>VLOOKUP(B45,Sheet1!$G$1:$I$36,2,0)</f>
        <v>889</v>
      </c>
      <c r="L45" s="64">
        <f>VLOOKUP(B45,Sheet1!$G$1:$I$36,3,0)/10000</f>
        <v>1.329846</v>
      </c>
      <c r="M45" s="64">
        <f t="shared" si="7"/>
        <v>10.667053</v>
      </c>
      <c r="S45" s="64">
        <f t="shared" si="8"/>
        <v>0</v>
      </c>
      <c r="T45" s="64">
        <f t="shared" si="9"/>
        <v>0</v>
      </c>
      <c r="U45" s="64">
        <f t="shared" si="10"/>
        <v>0</v>
      </c>
      <c r="V45" s="64">
        <f t="shared" si="11"/>
        <v>0</v>
      </c>
    </row>
    <row r="46" ht="45" customHeight="true" spans="1:22">
      <c r="A46" s="34">
        <v>42</v>
      </c>
      <c r="B46" s="32" t="s">
        <v>52</v>
      </c>
      <c r="C46" s="33">
        <v>4608</v>
      </c>
      <c r="D46" s="33">
        <v>9.208329</v>
      </c>
      <c r="E46" s="33">
        <v>1899</v>
      </c>
      <c r="F46" s="33">
        <v>2.840696</v>
      </c>
      <c r="G46" s="40">
        <f t="shared" si="6"/>
        <v>12.049025</v>
      </c>
      <c r="I46" s="64">
        <f>VLOOKUP(B46,Sheet1!$A$1:$C$51,2,0)</f>
        <v>4608</v>
      </c>
      <c r="J46" s="64">
        <f>VLOOKUP(B46,Sheet1!$A$1:$C$51,3,0)/10000</f>
        <v>9.208329</v>
      </c>
      <c r="K46" s="64">
        <f>VLOOKUP(B46,Sheet1!$G$1:$I$36,2,0)</f>
        <v>1899</v>
      </c>
      <c r="L46" s="64">
        <f>VLOOKUP(B46,Sheet1!$G$1:$I$36,3,0)/10000</f>
        <v>2.840696</v>
      </c>
      <c r="M46" s="64">
        <f t="shared" si="7"/>
        <v>12.049025</v>
      </c>
      <c r="S46" s="64">
        <f t="shared" si="8"/>
        <v>0</v>
      </c>
      <c r="T46" s="64">
        <f t="shared" si="9"/>
        <v>0</v>
      </c>
      <c r="U46" s="64">
        <f t="shared" si="10"/>
        <v>0</v>
      </c>
      <c r="V46" s="64">
        <f t="shared" si="11"/>
        <v>0</v>
      </c>
    </row>
    <row r="47" ht="45" customHeight="true" spans="1:22">
      <c r="A47" s="34">
        <v>43</v>
      </c>
      <c r="B47" s="32" t="s">
        <v>53</v>
      </c>
      <c r="C47" s="33">
        <v>300</v>
      </c>
      <c r="D47" s="33">
        <v>0.6</v>
      </c>
      <c r="E47" s="33">
        <v>2900</v>
      </c>
      <c r="F47" s="33">
        <v>4.346302</v>
      </c>
      <c r="G47" s="40">
        <f t="shared" si="6"/>
        <v>4.946302</v>
      </c>
      <c r="I47" s="64">
        <f>VLOOKUP(B47,Sheet1!$A$1:$C$51,2,0)</f>
        <v>300</v>
      </c>
      <c r="J47" s="64">
        <f>VLOOKUP(B47,Sheet1!$A$1:$C$51,3,0)/10000</f>
        <v>0.6</v>
      </c>
      <c r="K47" s="64">
        <f>VLOOKUP(B47,Sheet1!$G$1:$I$36,2,0)</f>
        <v>2900</v>
      </c>
      <c r="L47" s="64">
        <f>VLOOKUP(B47,Sheet1!$G$1:$I$36,3,0)/10000</f>
        <v>4.346302</v>
      </c>
      <c r="M47" s="64">
        <f t="shared" si="7"/>
        <v>4.946302</v>
      </c>
      <c r="S47" s="64">
        <f t="shared" si="8"/>
        <v>0</v>
      </c>
      <c r="T47" s="64">
        <f t="shared" si="9"/>
        <v>0</v>
      </c>
      <c r="U47" s="64">
        <f t="shared" si="10"/>
        <v>0</v>
      </c>
      <c r="V47" s="64">
        <f t="shared" si="11"/>
        <v>0</v>
      </c>
    </row>
    <row r="48" ht="45" customHeight="true" spans="1:22">
      <c r="A48" s="34">
        <v>44</v>
      </c>
      <c r="B48" s="32" t="s">
        <v>54</v>
      </c>
      <c r="C48" s="33">
        <v>13385</v>
      </c>
      <c r="D48" s="33">
        <v>26.587475</v>
      </c>
      <c r="E48" s="33">
        <v>3500</v>
      </c>
      <c r="F48" s="33">
        <v>5.242604</v>
      </c>
      <c r="G48" s="40">
        <f t="shared" si="6"/>
        <v>31.830079</v>
      </c>
      <c r="I48" s="64">
        <f>VLOOKUP(B48,Sheet1!$A$1:$C$51,2,0)</f>
        <v>13385</v>
      </c>
      <c r="J48" s="64">
        <f>VLOOKUP(B48,Sheet1!$A$1:$C$51,3,0)/10000</f>
        <v>26.587475</v>
      </c>
      <c r="K48" s="64">
        <f>VLOOKUP(B48,Sheet1!$G$1:$I$36,2,0)</f>
        <v>3500</v>
      </c>
      <c r="L48" s="64">
        <f>VLOOKUP(B48,Sheet1!$G$1:$I$36,3,0)/10000</f>
        <v>5.242604</v>
      </c>
      <c r="M48" s="64">
        <f t="shared" si="7"/>
        <v>31.830079</v>
      </c>
      <c r="S48" s="64">
        <f t="shared" si="8"/>
        <v>0</v>
      </c>
      <c r="T48" s="64">
        <f t="shared" si="9"/>
        <v>0</v>
      </c>
      <c r="U48" s="64">
        <f t="shared" si="10"/>
        <v>0</v>
      </c>
      <c r="V48" s="64">
        <f t="shared" si="11"/>
        <v>0</v>
      </c>
    </row>
    <row r="49" ht="45" customHeight="true" spans="1:22">
      <c r="A49" s="34">
        <v>45</v>
      </c>
      <c r="B49" s="32" t="s">
        <v>55</v>
      </c>
      <c r="C49" s="33">
        <v>2480</v>
      </c>
      <c r="D49" s="33">
        <v>5.195288</v>
      </c>
      <c r="E49" s="33">
        <v>2250</v>
      </c>
      <c r="F49" s="33">
        <v>3.233837</v>
      </c>
      <c r="G49" s="40">
        <f t="shared" si="6"/>
        <v>8.429125</v>
      </c>
      <c r="I49" s="64">
        <f>VLOOKUP(B49,Sheet1!$A$1:$C$51,2,0)</f>
        <v>2480</v>
      </c>
      <c r="J49" s="64">
        <f>VLOOKUP(B49,Sheet1!$A$1:$C$51,3,0)/10000</f>
        <v>5.195288</v>
      </c>
      <c r="K49" s="64">
        <f>VLOOKUP(B49,Sheet1!$G$1:$I$36,2,0)</f>
        <v>2250</v>
      </c>
      <c r="L49" s="64">
        <f>VLOOKUP(B49,Sheet1!$G$1:$I$36,3,0)/10000</f>
        <v>3.233837</v>
      </c>
      <c r="M49" s="64">
        <f t="shared" si="7"/>
        <v>8.429125</v>
      </c>
      <c r="S49" s="64">
        <f t="shared" si="8"/>
        <v>0</v>
      </c>
      <c r="T49" s="64">
        <f t="shared" si="9"/>
        <v>0</v>
      </c>
      <c r="U49" s="64">
        <f t="shared" si="10"/>
        <v>0</v>
      </c>
      <c r="V49" s="64">
        <f t="shared" si="11"/>
        <v>0</v>
      </c>
    </row>
    <row r="50" ht="45" customHeight="true" spans="1:22">
      <c r="A50" s="34">
        <v>46</v>
      </c>
      <c r="B50" s="32" t="s">
        <v>56</v>
      </c>
      <c r="C50" s="33">
        <v>5578</v>
      </c>
      <c r="D50" s="33">
        <v>11.122301</v>
      </c>
      <c r="E50" s="33">
        <v>0</v>
      </c>
      <c r="F50" s="33">
        <v>0</v>
      </c>
      <c r="G50" s="40">
        <f t="shared" si="6"/>
        <v>11.122301</v>
      </c>
      <c r="I50" s="64">
        <f>VLOOKUP(B50,Sheet1!$A$1:$C$51,2,0)</f>
        <v>5578</v>
      </c>
      <c r="J50" s="64">
        <f>VLOOKUP(B50,Sheet1!$A$1:$C$51,3,0)/10000</f>
        <v>11.122301</v>
      </c>
      <c r="M50" s="64">
        <f t="shared" si="7"/>
        <v>11.122301</v>
      </c>
      <c r="S50" s="64">
        <f t="shared" si="8"/>
        <v>0</v>
      </c>
      <c r="T50" s="64">
        <f t="shared" si="9"/>
        <v>0</v>
      </c>
      <c r="U50" s="64">
        <f t="shared" si="10"/>
        <v>0</v>
      </c>
      <c r="V50" s="64">
        <f t="shared" si="11"/>
        <v>0</v>
      </c>
    </row>
    <row r="51" ht="45" customHeight="true" spans="1:22">
      <c r="A51" s="34">
        <v>47</v>
      </c>
      <c r="B51" s="32" t="s">
        <v>57</v>
      </c>
      <c r="C51" s="33">
        <v>0</v>
      </c>
      <c r="D51" s="33">
        <v>0</v>
      </c>
      <c r="E51" s="33">
        <v>0</v>
      </c>
      <c r="F51" s="33">
        <v>0</v>
      </c>
      <c r="G51" s="40">
        <f t="shared" si="6"/>
        <v>0</v>
      </c>
      <c r="M51" s="64">
        <f t="shared" si="7"/>
        <v>0</v>
      </c>
      <c r="S51" s="64">
        <f t="shared" si="8"/>
        <v>0</v>
      </c>
      <c r="T51" s="64">
        <f t="shared" si="9"/>
        <v>0</v>
      </c>
      <c r="U51" s="64">
        <f t="shared" si="10"/>
        <v>0</v>
      </c>
      <c r="V51" s="64">
        <f t="shared" si="11"/>
        <v>0</v>
      </c>
    </row>
    <row r="52" ht="45" customHeight="true" spans="1:22">
      <c r="A52" s="34">
        <v>48</v>
      </c>
      <c r="B52" s="32" t="s">
        <v>58</v>
      </c>
      <c r="C52" s="33">
        <v>0</v>
      </c>
      <c r="D52" s="33">
        <v>0</v>
      </c>
      <c r="E52" s="33">
        <v>0</v>
      </c>
      <c r="F52" s="33">
        <v>0</v>
      </c>
      <c r="G52" s="40">
        <f t="shared" si="6"/>
        <v>0</v>
      </c>
      <c r="M52" s="64">
        <f t="shared" si="7"/>
        <v>0</v>
      </c>
      <c r="S52" s="64">
        <f t="shared" si="8"/>
        <v>0</v>
      </c>
      <c r="T52" s="64">
        <f t="shared" si="9"/>
        <v>0</v>
      </c>
      <c r="U52" s="64">
        <f t="shared" si="10"/>
        <v>0</v>
      </c>
      <c r="V52" s="64">
        <f t="shared" si="11"/>
        <v>0</v>
      </c>
    </row>
    <row r="53" ht="45" customHeight="true" spans="1:22">
      <c r="A53" s="34">
        <v>49</v>
      </c>
      <c r="B53" s="32" t="s">
        <v>59</v>
      </c>
      <c r="C53" s="33">
        <v>0</v>
      </c>
      <c r="D53" s="33">
        <v>0</v>
      </c>
      <c r="E53" s="33">
        <v>0</v>
      </c>
      <c r="F53" s="33">
        <v>0</v>
      </c>
      <c r="G53" s="40">
        <f t="shared" si="6"/>
        <v>0</v>
      </c>
      <c r="M53" s="64">
        <f t="shared" si="7"/>
        <v>0</v>
      </c>
      <c r="S53" s="64">
        <f t="shared" si="8"/>
        <v>0</v>
      </c>
      <c r="T53" s="64">
        <f t="shared" si="9"/>
        <v>0</v>
      </c>
      <c r="U53" s="64">
        <f t="shared" si="10"/>
        <v>0</v>
      </c>
      <c r="V53" s="64">
        <f t="shared" si="11"/>
        <v>0</v>
      </c>
    </row>
    <row r="54" ht="45" customHeight="true" spans="1:22">
      <c r="A54" s="34">
        <v>50</v>
      </c>
      <c r="B54" s="32" t="s">
        <v>60</v>
      </c>
      <c r="C54" s="33">
        <v>7187.3232</v>
      </c>
      <c r="D54" s="33">
        <v>14.033011</v>
      </c>
      <c r="E54" s="33">
        <v>6725</v>
      </c>
      <c r="F54" s="33">
        <v>10.002227</v>
      </c>
      <c r="G54" s="40">
        <f t="shared" si="6"/>
        <v>24.035238</v>
      </c>
      <c r="I54" s="64">
        <f>VLOOKUP(B54,Sheet1!$A$1:$C$51,2,0)</f>
        <v>7187.3232</v>
      </c>
      <c r="J54" s="64">
        <f>VLOOKUP(B54,Sheet1!$A$1:$C$51,3,0)/10000</f>
        <v>14.033001</v>
      </c>
      <c r="K54" s="64">
        <f>VLOOKUP(B54,Sheet1!$G$1:$I$36,2,0)</f>
        <v>6725</v>
      </c>
      <c r="L54" s="64">
        <f>VLOOKUP(B54,Sheet1!$G$1:$I$36,3,0)/10000</f>
        <v>10.002227</v>
      </c>
      <c r="M54" s="64">
        <f t="shared" si="7"/>
        <v>24.035228</v>
      </c>
      <c r="S54" s="64">
        <f t="shared" si="8"/>
        <v>0</v>
      </c>
      <c r="T54" s="64">
        <f t="shared" si="9"/>
        <v>0</v>
      </c>
      <c r="U54" s="64">
        <f t="shared" si="10"/>
        <v>0</v>
      </c>
      <c r="V54" s="64">
        <f t="shared" si="11"/>
        <v>0</v>
      </c>
    </row>
    <row r="55" ht="45" customHeight="true" spans="1:22">
      <c r="A55" s="34">
        <v>51</v>
      </c>
      <c r="B55" s="32" t="s">
        <v>61</v>
      </c>
      <c r="C55" s="33">
        <v>5320</v>
      </c>
      <c r="D55" s="33">
        <v>10.636219</v>
      </c>
      <c r="E55" s="33">
        <v>1000</v>
      </c>
      <c r="F55" s="33">
        <v>1.5</v>
      </c>
      <c r="G55" s="40">
        <f t="shared" si="6"/>
        <v>12.136219</v>
      </c>
      <c r="I55" s="64">
        <f>VLOOKUP(B55,Sheet1!$A$1:$C$51,2,0)</f>
        <v>5320</v>
      </c>
      <c r="J55" s="64">
        <f>VLOOKUP(B55,Sheet1!$A$1:$C$51,3,0)/10000</f>
        <v>10.636219</v>
      </c>
      <c r="K55" s="64">
        <f>VLOOKUP(B55,Sheet1!$G$1:$I$36,2,0)</f>
        <v>1000</v>
      </c>
      <c r="L55" s="64">
        <f>VLOOKUP(B55,Sheet1!$G$1:$I$36,3,0)/10000</f>
        <v>1.5</v>
      </c>
      <c r="M55" s="64">
        <f t="shared" si="7"/>
        <v>12.136219</v>
      </c>
      <c r="S55" s="64">
        <f t="shared" si="8"/>
        <v>0</v>
      </c>
      <c r="T55" s="64">
        <f t="shared" si="9"/>
        <v>0</v>
      </c>
      <c r="U55" s="64">
        <f t="shared" si="10"/>
        <v>0</v>
      </c>
      <c r="V55" s="64">
        <f t="shared" si="11"/>
        <v>0</v>
      </c>
    </row>
    <row r="56" ht="45" customHeight="true" spans="1:22">
      <c r="A56" s="34">
        <v>52</v>
      </c>
      <c r="B56" s="32" t="s">
        <v>62</v>
      </c>
      <c r="C56" s="33">
        <v>1800</v>
      </c>
      <c r="D56" s="33">
        <v>3.547397</v>
      </c>
      <c r="E56" s="33">
        <v>0</v>
      </c>
      <c r="F56" s="33">
        <v>0</v>
      </c>
      <c r="G56" s="40">
        <f t="shared" si="6"/>
        <v>3.547397</v>
      </c>
      <c r="I56" s="64">
        <f>VLOOKUP(B56,Sheet1!$A$1:$C$51,2,0)</f>
        <v>1800</v>
      </c>
      <c r="J56" s="64">
        <f>VLOOKUP(B56,Sheet1!$A$1:$C$51,3,0)/10000</f>
        <v>3.547397</v>
      </c>
      <c r="M56" s="64">
        <f t="shared" si="7"/>
        <v>3.547397</v>
      </c>
      <c r="S56" s="64">
        <f t="shared" si="8"/>
        <v>0</v>
      </c>
      <c r="T56" s="64">
        <f t="shared" si="9"/>
        <v>0</v>
      </c>
      <c r="U56" s="64">
        <f t="shared" si="10"/>
        <v>0</v>
      </c>
      <c r="V56" s="64">
        <f t="shared" si="11"/>
        <v>0</v>
      </c>
    </row>
    <row r="57" ht="45" customHeight="true" spans="1:22">
      <c r="A57" s="34">
        <v>53</v>
      </c>
      <c r="B57" s="32" t="s">
        <v>63</v>
      </c>
      <c r="C57" s="33">
        <v>1540</v>
      </c>
      <c r="D57" s="33">
        <v>3.07452</v>
      </c>
      <c r="E57" s="33">
        <v>0</v>
      </c>
      <c r="F57" s="33">
        <v>0</v>
      </c>
      <c r="G57" s="40">
        <f t="shared" si="6"/>
        <v>3.07452</v>
      </c>
      <c r="I57" s="64">
        <f>VLOOKUP(B57,Sheet1!$A$1:$C$51,2,0)</f>
        <v>1540</v>
      </c>
      <c r="J57" s="64">
        <f>VLOOKUP(B57,Sheet1!$A$1:$C$51,3,0)/10000</f>
        <v>3.07452</v>
      </c>
      <c r="M57" s="64">
        <f t="shared" si="7"/>
        <v>3.07452</v>
      </c>
      <c r="S57" s="64">
        <f t="shared" si="8"/>
        <v>0</v>
      </c>
      <c r="T57" s="64">
        <f t="shared" si="9"/>
        <v>0</v>
      </c>
      <c r="U57" s="64">
        <f t="shared" si="10"/>
        <v>0</v>
      </c>
      <c r="V57" s="64">
        <f t="shared" si="11"/>
        <v>0</v>
      </c>
    </row>
    <row r="58" ht="45" customHeight="true" spans="1:22">
      <c r="A58" s="34">
        <v>54</v>
      </c>
      <c r="B58" s="32" t="s">
        <v>64</v>
      </c>
      <c r="C58" s="33">
        <v>6570</v>
      </c>
      <c r="D58" s="33">
        <v>12.941205</v>
      </c>
      <c r="E58" s="33">
        <v>5530</v>
      </c>
      <c r="F58" s="33">
        <v>8.284727</v>
      </c>
      <c r="G58" s="40">
        <f t="shared" si="6"/>
        <v>21.225932</v>
      </c>
      <c r="I58" s="64">
        <f>VLOOKUP(B58,Sheet1!$A$1:$C$51,2,0)</f>
        <v>6570</v>
      </c>
      <c r="J58" s="64">
        <f>VLOOKUP(B58,Sheet1!$A$1:$C$51,3,0)/10000</f>
        <v>12.941205</v>
      </c>
      <c r="K58" s="64">
        <f>VLOOKUP(B58,Sheet1!$G$1:$I$36,2,0)</f>
        <v>5530</v>
      </c>
      <c r="L58" s="64">
        <f>VLOOKUP(B58,Sheet1!$G$1:$I$36,3,0)/10000</f>
        <v>8.284727</v>
      </c>
      <c r="M58" s="64">
        <f t="shared" si="7"/>
        <v>21.225932</v>
      </c>
      <c r="S58" s="64">
        <f t="shared" si="8"/>
        <v>0</v>
      </c>
      <c r="T58" s="64">
        <f t="shared" si="9"/>
        <v>0</v>
      </c>
      <c r="U58" s="64">
        <f t="shared" si="10"/>
        <v>0</v>
      </c>
      <c r="V58" s="64">
        <f t="shared" si="11"/>
        <v>0</v>
      </c>
    </row>
    <row r="59" ht="45" customHeight="true" spans="1:22">
      <c r="A59" s="34">
        <v>55</v>
      </c>
      <c r="B59" s="32" t="s">
        <v>65</v>
      </c>
      <c r="C59" s="33">
        <v>0</v>
      </c>
      <c r="D59" s="33">
        <v>0</v>
      </c>
      <c r="E59" s="33">
        <v>0</v>
      </c>
      <c r="F59" s="33">
        <v>0</v>
      </c>
      <c r="G59" s="40">
        <f t="shared" si="6"/>
        <v>0</v>
      </c>
      <c r="M59" s="64">
        <f t="shared" si="7"/>
        <v>0</v>
      </c>
      <c r="S59" s="64">
        <f t="shared" si="8"/>
        <v>0</v>
      </c>
      <c r="T59" s="64">
        <f t="shared" si="9"/>
        <v>0</v>
      </c>
      <c r="U59" s="64">
        <f t="shared" si="10"/>
        <v>0</v>
      </c>
      <c r="V59" s="64">
        <f t="shared" si="11"/>
        <v>0</v>
      </c>
    </row>
    <row r="60" ht="45" customHeight="true" spans="1:22">
      <c r="A60" s="34">
        <v>56</v>
      </c>
      <c r="B60" s="32" t="s">
        <v>66</v>
      </c>
      <c r="C60" s="33">
        <v>500</v>
      </c>
      <c r="D60" s="33">
        <v>1</v>
      </c>
      <c r="E60" s="33">
        <v>0</v>
      </c>
      <c r="F60" s="33">
        <v>0</v>
      </c>
      <c r="G60" s="40">
        <f t="shared" si="6"/>
        <v>1</v>
      </c>
      <c r="I60" s="64">
        <f>VLOOKUP(B60,Sheet1!$A$1:$C$51,2,0)</f>
        <v>500</v>
      </c>
      <c r="J60" s="64">
        <f>VLOOKUP(B60,Sheet1!$A$1:$C$51,3,0)/10000</f>
        <v>1</v>
      </c>
      <c r="M60" s="64">
        <f t="shared" si="7"/>
        <v>1</v>
      </c>
      <c r="S60" s="64">
        <f t="shared" si="8"/>
        <v>0</v>
      </c>
      <c r="T60" s="64">
        <f t="shared" si="9"/>
        <v>0</v>
      </c>
      <c r="U60" s="64">
        <f t="shared" si="10"/>
        <v>0</v>
      </c>
      <c r="V60" s="64">
        <f t="shared" si="11"/>
        <v>0</v>
      </c>
    </row>
    <row r="61" ht="45" customHeight="true" spans="1:22">
      <c r="A61" s="34">
        <v>57</v>
      </c>
      <c r="B61" s="32" t="s">
        <v>67</v>
      </c>
      <c r="C61" s="33">
        <v>4615</v>
      </c>
      <c r="D61" s="33">
        <v>9.172246</v>
      </c>
      <c r="E61" s="33">
        <v>0</v>
      </c>
      <c r="F61" s="33">
        <v>0</v>
      </c>
      <c r="G61" s="40">
        <f t="shared" si="6"/>
        <v>9.172246</v>
      </c>
      <c r="I61" s="64">
        <f>VLOOKUP(B61,Sheet1!$A$1:$C$51,2,0)</f>
        <v>4615</v>
      </c>
      <c r="J61" s="64">
        <f>VLOOKUP(B61,Sheet1!$A$1:$C$51,3,0)/10000</f>
        <v>9.172246</v>
      </c>
      <c r="M61" s="64">
        <f t="shared" si="7"/>
        <v>9.172246</v>
      </c>
      <c r="S61" s="64">
        <f t="shared" si="8"/>
        <v>0</v>
      </c>
      <c r="T61" s="64">
        <f t="shared" si="9"/>
        <v>0</v>
      </c>
      <c r="U61" s="64">
        <f t="shared" si="10"/>
        <v>0</v>
      </c>
      <c r="V61" s="64">
        <f t="shared" si="11"/>
        <v>0</v>
      </c>
    </row>
    <row r="62" ht="42.95" customHeight="true" spans="1:22">
      <c r="A62" s="48" t="s">
        <v>68</v>
      </c>
      <c r="B62" s="49"/>
      <c r="C62" s="40">
        <f t="shared" ref="C62:F62" si="12">SUM(C5:C61)</f>
        <v>597805.398817</v>
      </c>
      <c r="D62" s="40">
        <f t="shared" si="12"/>
        <v>1150.70498099999</v>
      </c>
      <c r="E62" s="40">
        <f t="shared" si="12"/>
        <v>210573.9566</v>
      </c>
      <c r="F62" s="40">
        <f t="shared" si="12"/>
        <v>309.758694</v>
      </c>
      <c r="G62" s="40">
        <f t="shared" ref="G62:M62" si="13">SUM(G5:G61)</f>
        <v>1460.46367499999</v>
      </c>
      <c r="I62" s="64">
        <f t="shared" si="13"/>
        <v>597779.396831</v>
      </c>
      <c r="J62" s="64">
        <f t="shared" si="13"/>
        <v>1150.705055</v>
      </c>
      <c r="K62" s="64">
        <f t="shared" si="13"/>
        <v>211473.9566</v>
      </c>
      <c r="L62" s="64">
        <f t="shared" si="13"/>
        <v>309.758694</v>
      </c>
      <c r="M62" s="64">
        <f t="shared" si="13"/>
        <v>1460.463749</v>
      </c>
      <c r="S62" s="64">
        <f t="shared" si="8"/>
        <v>26</v>
      </c>
      <c r="T62" s="64">
        <f t="shared" si="9"/>
        <v>0</v>
      </c>
      <c r="U62" s="64">
        <f t="shared" si="10"/>
        <v>-900</v>
      </c>
      <c r="V62" s="64">
        <f t="shared" si="11"/>
        <v>0</v>
      </c>
    </row>
    <row r="63" spans="9:13">
      <c r="I63" s="64">
        <f>I62-C62</f>
        <v>-26.001985999872</v>
      </c>
      <c r="J63" s="64">
        <f>J62-D62</f>
        <v>7.40000079986203e-5</v>
      </c>
      <c r="K63" s="64">
        <f>K62-E62</f>
        <v>900</v>
      </c>
      <c r="L63" s="64">
        <f>L62-F62</f>
        <v>0</v>
      </c>
      <c r="M63" s="64">
        <f>M62-G62</f>
        <v>7.40000075438729e-5</v>
      </c>
    </row>
  </sheetData>
  <autoFilter ref="A4:X63">
    <extLst/>
  </autoFilter>
  <mergeCells count="6">
    <mergeCell ref="A2:G2"/>
    <mergeCell ref="C3:F3"/>
    <mergeCell ref="A62:B62"/>
    <mergeCell ref="A3:A4"/>
    <mergeCell ref="B3:B4"/>
    <mergeCell ref="G3:G4"/>
  </mergeCells>
  <pageMargins left="0.354166666666667" right="0.236111111111111" top="0.472222222222222" bottom="0.196527777777778" header="0.511805555555556" footer="0.511805555555556"/>
  <pageSetup paperSize="9" scale="4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I52"/>
  <sheetViews>
    <sheetView workbookViewId="0">
      <selection activeCell="S62" sqref="S62"/>
    </sheetView>
  </sheetViews>
  <sheetFormatPr defaultColWidth="9" defaultRowHeight="13.5"/>
  <cols>
    <col min="2" max="3" width="12.625"/>
    <col min="8" max="8" width="12.625"/>
    <col min="9" max="9" width="11.5"/>
  </cols>
  <sheetData>
    <row r="1" spans="1:9">
      <c r="A1" s="63" t="s">
        <v>69</v>
      </c>
      <c r="B1" s="63" t="s">
        <v>70</v>
      </c>
      <c r="C1" s="63" t="s">
        <v>71</v>
      </c>
      <c r="G1" s="63" t="s">
        <v>72</v>
      </c>
      <c r="H1" s="63" t="s">
        <v>70</v>
      </c>
      <c r="I1" s="63" t="s">
        <v>71</v>
      </c>
    </row>
    <row r="2" hidden="true" spans="1:9">
      <c r="A2" s="63" t="s">
        <v>10</v>
      </c>
      <c r="B2" s="63">
        <v>28794</v>
      </c>
      <c r="C2" s="63">
        <v>564143.18</v>
      </c>
      <c r="G2" s="63" t="s">
        <v>10</v>
      </c>
      <c r="H2" s="63">
        <v>9190</v>
      </c>
      <c r="I2" s="63">
        <v>136933.58</v>
      </c>
    </row>
    <row r="3" hidden="true" spans="1:9">
      <c r="A3" s="63" t="s">
        <v>9</v>
      </c>
      <c r="B3" s="63">
        <v>10298.65</v>
      </c>
      <c r="C3" s="63">
        <v>149341.15</v>
      </c>
      <c r="G3" s="63" t="s">
        <v>9</v>
      </c>
      <c r="H3" s="63">
        <v>13520</v>
      </c>
      <c r="I3" s="63">
        <v>201219.89</v>
      </c>
    </row>
    <row r="4" hidden="true" spans="1:9">
      <c r="A4" s="63" t="s">
        <v>54</v>
      </c>
      <c r="B4" s="63">
        <v>13385</v>
      </c>
      <c r="C4" s="63">
        <v>265874.75</v>
      </c>
      <c r="G4" s="63" t="s">
        <v>54</v>
      </c>
      <c r="H4" s="63">
        <v>3500</v>
      </c>
      <c r="I4" s="63">
        <v>52426.04</v>
      </c>
    </row>
    <row r="5" hidden="true" spans="1:9">
      <c r="A5" s="63" t="s">
        <v>32</v>
      </c>
      <c r="B5" s="63">
        <v>710</v>
      </c>
      <c r="C5" s="63">
        <v>14172.6</v>
      </c>
      <c r="G5" s="63" t="s">
        <v>36</v>
      </c>
      <c r="H5" s="63">
        <v>5660</v>
      </c>
      <c r="I5" s="63">
        <v>84538.78</v>
      </c>
    </row>
    <row r="6" hidden="true" spans="1:9">
      <c r="A6" s="63" t="s">
        <v>56</v>
      </c>
      <c r="B6" s="63">
        <v>5578</v>
      </c>
      <c r="C6" s="63">
        <v>111223.01</v>
      </c>
      <c r="G6" s="63" t="s">
        <v>25</v>
      </c>
      <c r="H6" s="63">
        <v>4500</v>
      </c>
      <c r="I6" s="63">
        <v>66279.46</v>
      </c>
    </row>
    <row r="7" hidden="true" spans="1:9">
      <c r="A7" s="63" t="s">
        <v>36</v>
      </c>
      <c r="B7" s="63">
        <v>8070</v>
      </c>
      <c r="C7" s="63">
        <v>158806.56</v>
      </c>
      <c r="G7" s="63" t="s">
        <v>27</v>
      </c>
      <c r="H7" s="63">
        <v>3929.9566</v>
      </c>
      <c r="I7" s="63">
        <v>58852.78</v>
      </c>
    </row>
    <row r="8" hidden="true" spans="1:9">
      <c r="A8" s="63" t="s">
        <v>30</v>
      </c>
      <c r="B8" s="63">
        <v>10420.6</v>
      </c>
      <c r="C8" s="63">
        <v>164856.39</v>
      </c>
      <c r="G8" s="63" t="s">
        <v>38</v>
      </c>
      <c r="H8" s="63">
        <v>3750</v>
      </c>
      <c r="I8" s="63">
        <v>62574.67</v>
      </c>
    </row>
    <row r="9" hidden="true" spans="1:9">
      <c r="A9" s="63" t="s">
        <v>25</v>
      </c>
      <c r="B9" s="63">
        <v>10678</v>
      </c>
      <c r="C9" s="63">
        <v>211436.39</v>
      </c>
      <c r="G9" s="63" t="s">
        <v>53</v>
      </c>
      <c r="H9" s="63">
        <v>2900</v>
      </c>
      <c r="I9" s="63">
        <v>43463.02</v>
      </c>
    </row>
    <row r="10" hidden="true" spans="1:9">
      <c r="A10" s="63" t="s">
        <v>27</v>
      </c>
      <c r="B10" s="63">
        <v>12046</v>
      </c>
      <c r="C10" s="63">
        <v>233345.97</v>
      </c>
      <c r="G10" s="63" t="s">
        <v>8</v>
      </c>
      <c r="H10" s="63">
        <v>8450</v>
      </c>
      <c r="I10" s="63">
        <v>109847.28</v>
      </c>
    </row>
    <row r="11" hidden="true" spans="1:9">
      <c r="A11" s="63" t="s">
        <v>38</v>
      </c>
      <c r="B11" s="63">
        <v>6738.982</v>
      </c>
      <c r="C11" s="63">
        <v>130374.28</v>
      </c>
      <c r="G11" s="63" t="s">
        <v>47</v>
      </c>
      <c r="H11" s="63">
        <v>4150</v>
      </c>
      <c r="I11" s="63">
        <v>54612.33</v>
      </c>
    </row>
    <row r="12" hidden="true" spans="1:9">
      <c r="A12" s="63" t="s">
        <v>53</v>
      </c>
      <c r="B12" s="63">
        <v>300</v>
      </c>
      <c r="C12" s="63">
        <v>6000</v>
      </c>
      <c r="G12" s="63" t="s">
        <v>51</v>
      </c>
      <c r="H12" s="63">
        <v>889</v>
      </c>
      <c r="I12" s="63">
        <v>13298.46</v>
      </c>
    </row>
    <row r="13" hidden="true" spans="1:9">
      <c r="A13" s="63" t="s">
        <v>31</v>
      </c>
      <c r="B13" s="63">
        <v>1240</v>
      </c>
      <c r="C13" s="63">
        <v>31736.99</v>
      </c>
      <c r="G13" s="63" t="s">
        <v>60</v>
      </c>
      <c r="H13" s="63">
        <v>6725</v>
      </c>
      <c r="I13" s="63">
        <v>100022.27</v>
      </c>
    </row>
    <row r="14" hidden="true" spans="1:9">
      <c r="A14" s="63" t="s">
        <v>8</v>
      </c>
      <c r="B14" s="63">
        <v>236873.70042</v>
      </c>
      <c r="C14" s="63">
        <v>4520854.31999998</v>
      </c>
      <c r="G14" s="63" t="s">
        <v>61</v>
      </c>
      <c r="H14" s="63">
        <v>1000</v>
      </c>
      <c r="I14" s="63">
        <v>15000</v>
      </c>
    </row>
    <row r="15" hidden="true" spans="1:9">
      <c r="A15" s="63" t="s">
        <v>47</v>
      </c>
      <c r="B15" s="63">
        <v>4100.5982</v>
      </c>
      <c r="C15" s="63">
        <v>80780.18</v>
      </c>
      <c r="G15" s="63" t="s">
        <v>41</v>
      </c>
      <c r="H15" s="63">
        <v>1300</v>
      </c>
      <c r="I15" s="63">
        <v>19467.54</v>
      </c>
    </row>
    <row r="16" hidden="true" spans="1:9">
      <c r="A16" s="63" t="s">
        <v>51</v>
      </c>
      <c r="B16" s="63">
        <v>4947.969252</v>
      </c>
      <c r="C16" s="63">
        <v>93372.07</v>
      </c>
      <c r="G16" s="63" t="s">
        <v>28</v>
      </c>
      <c r="H16" s="63">
        <v>2700</v>
      </c>
      <c r="I16" s="63">
        <v>40253.43</v>
      </c>
    </row>
    <row r="17" hidden="true" spans="1:9">
      <c r="A17" s="63" t="s">
        <v>60</v>
      </c>
      <c r="B17" s="63">
        <v>7187.3232</v>
      </c>
      <c r="C17" s="63">
        <v>140330.01</v>
      </c>
      <c r="G17" s="63" t="s">
        <v>52</v>
      </c>
      <c r="H17" s="63">
        <v>1899</v>
      </c>
      <c r="I17" s="63">
        <v>28406.96</v>
      </c>
    </row>
    <row r="18" hidden="true" spans="1:9">
      <c r="A18" s="63" t="s">
        <v>63</v>
      </c>
      <c r="B18" s="63">
        <v>1540</v>
      </c>
      <c r="C18" s="63">
        <v>30745.2</v>
      </c>
      <c r="G18" s="63" t="s">
        <v>15</v>
      </c>
      <c r="H18" s="63">
        <v>11490</v>
      </c>
      <c r="I18" s="63">
        <v>171978.51</v>
      </c>
    </row>
    <row r="19" hidden="true" spans="1:9">
      <c r="A19" s="63" t="s">
        <v>61</v>
      </c>
      <c r="B19" s="63">
        <v>5320</v>
      </c>
      <c r="C19" s="63">
        <v>106362.19</v>
      </c>
      <c r="G19" s="63" t="s">
        <v>33</v>
      </c>
      <c r="H19" s="63">
        <v>2560</v>
      </c>
      <c r="I19" s="63">
        <v>38400</v>
      </c>
    </row>
    <row r="20" hidden="true" spans="1:9">
      <c r="A20" s="63" t="s">
        <v>41</v>
      </c>
      <c r="B20" s="63">
        <v>1778</v>
      </c>
      <c r="C20" s="63">
        <v>34691.07</v>
      </c>
      <c r="G20" s="63" t="s">
        <v>19</v>
      </c>
      <c r="H20" s="63">
        <v>3430</v>
      </c>
      <c r="I20" s="63">
        <v>38159.59</v>
      </c>
    </row>
    <row r="21" hidden="true" spans="1:9">
      <c r="A21" s="63" t="s">
        <v>28</v>
      </c>
      <c r="B21" s="63">
        <v>8670</v>
      </c>
      <c r="C21" s="63">
        <v>172528.75</v>
      </c>
      <c r="G21" s="63" t="s">
        <v>18</v>
      </c>
      <c r="H21" s="63">
        <v>4000</v>
      </c>
      <c r="I21" s="63">
        <v>58890.41</v>
      </c>
    </row>
    <row r="22" hidden="true" spans="1:9">
      <c r="A22" s="63" t="s">
        <v>26</v>
      </c>
      <c r="B22" s="63">
        <v>3475</v>
      </c>
      <c r="C22" s="63">
        <v>63944.09</v>
      </c>
      <c r="G22" s="63" t="s">
        <v>39</v>
      </c>
      <c r="H22" s="63">
        <v>3400</v>
      </c>
      <c r="I22" s="63">
        <v>53342.46</v>
      </c>
    </row>
    <row r="23" hidden="true" spans="1:9">
      <c r="A23" s="63" t="s">
        <v>52</v>
      </c>
      <c r="B23" s="63">
        <v>4608</v>
      </c>
      <c r="C23" s="63">
        <v>92083.29</v>
      </c>
      <c r="G23" s="63" t="s">
        <v>13</v>
      </c>
      <c r="H23" s="63">
        <v>7690</v>
      </c>
      <c r="I23" s="63">
        <v>115107.56</v>
      </c>
    </row>
    <row r="24" hidden="true" spans="1:9">
      <c r="A24" s="63" t="s">
        <v>15</v>
      </c>
      <c r="B24" s="63">
        <v>13590</v>
      </c>
      <c r="C24" s="63">
        <v>268838.88</v>
      </c>
      <c r="G24" s="63" t="s">
        <v>44</v>
      </c>
      <c r="H24" s="63">
        <v>3700</v>
      </c>
      <c r="I24" s="63">
        <v>48415.07</v>
      </c>
    </row>
    <row r="25" hidden="true" spans="1:9">
      <c r="A25" s="63" t="s">
        <v>66</v>
      </c>
      <c r="B25" s="63">
        <v>500</v>
      </c>
      <c r="C25" s="63">
        <v>10000</v>
      </c>
      <c r="G25" s="63" t="s">
        <v>14</v>
      </c>
      <c r="H25" s="63">
        <v>2500</v>
      </c>
      <c r="I25" s="63">
        <v>36844.52</v>
      </c>
    </row>
    <row r="26" hidden="true" spans="1:9">
      <c r="A26" s="63" t="s">
        <v>50</v>
      </c>
      <c r="B26" s="63">
        <v>8160</v>
      </c>
      <c r="C26" s="63">
        <v>161691.5</v>
      </c>
      <c r="G26" s="63" t="s">
        <v>64</v>
      </c>
      <c r="H26" s="63">
        <v>5530</v>
      </c>
      <c r="I26" s="63">
        <v>82847.27</v>
      </c>
    </row>
    <row r="27" hidden="true" spans="1:9">
      <c r="A27" s="63" t="s">
        <v>33</v>
      </c>
      <c r="B27" s="63">
        <v>3095</v>
      </c>
      <c r="C27" s="63">
        <v>60322.19</v>
      </c>
      <c r="G27" s="63" t="s">
        <v>17</v>
      </c>
      <c r="H27" s="63">
        <v>10650</v>
      </c>
      <c r="I27" s="63">
        <v>153550.71</v>
      </c>
    </row>
    <row r="28" hidden="true" spans="1:9">
      <c r="A28" s="63" t="s">
        <v>19</v>
      </c>
      <c r="B28" s="63">
        <v>5045</v>
      </c>
      <c r="C28" s="63">
        <v>94717.26</v>
      </c>
      <c r="G28" s="63" t="s">
        <v>16</v>
      </c>
      <c r="H28" s="63">
        <v>5405</v>
      </c>
      <c r="I28" s="63">
        <v>63237.32</v>
      </c>
    </row>
    <row r="29" hidden="true" spans="1:9">
      <c r="A29" s="63" t="s">
        <v>18</v>
      </c>
      <c r="B29" s="63">
        <v>11869</v>
      </c>
      <c r="C29" s="63">
        <v>234487.13</v>
      </c>
      <c r="G29" s="63" t="s">
        <v>40</v>
      </c>
      <c r="H29" s="63">
        <v>3800</v>
      </c>
      <c r="I29" s="63">
        <v>56761.65</v>
      </c>
    </row>
    <row r="30" hidden="true" spans="1:9">
      <c r="A30" s="63" t="s">
        <v>67</v>
      </c>
      <c r="B30" s="63">
        <v>4615</v>
      </c>
      <c r="C30" s="63">
        <v>91722.46</v>
      </c>
      <c r="G30" s="63" t="s">
        <v>12</v>
      </c>
      <c r="H30" s="63">
        <v>24986</v>
      </c>
      <c r="I30" s="63">
        <v>372766.88</v>
      </c>
    </row>
    <row r="31" hidden="true" spans="1:9">
      <c r="A31" s="63" t="s">
        <v>62</v>
      </c>
      <c r="B31" s="63">
        <v>1800</v>
      </c>
      <c r="C31" s="63">
        <v>35473.97</v>
      </c>
      <c r="G31" s="63" t="s">
        <v>22</v>
      </c>
      <c r="H31" s="63">
        <v>11830</v>
      </c>
      <c r="I31" s="63">
        <v>176899.32</v>
      </c>
    </row>
    <row r="32" hidden="true" spans="1:9">
      <c r="A32" s="63" t="s">
        <v>39</v>
      </c>
      <c r="B32" s="63">
        <v>10164</v>
      </c>
      <c r="C32" s="63">
        <v>198715.09</v>
      </c>
      <c r="G32" s="63" t="s">
        <v>20</v>
      </c>
      <c r="H32" s="63">
        <v>9250</v>
      </c>
      <c r="I32" s="63">
        <v>137868.54</v>
      </c>
    </row>
    <row r="33" hidden="true" spans="1:9">
      <c r="A33" s="63" t="s">
        <v>13</v>
      </c>
      <c r="B33" s="63">
        <v>7509</v>
      </c>
      <c r="C33" s="63">
        <v>131200.6</v>
      </c>
      <c r="G33" s="63" t="s">
        <v>42</v>
      </c>
      <c r="H33" s="63">
        <v>11100</v>
      </c>
      <c r="I33" s="63">
        <v>166237.01</v>
      </c>
    </row>
    <row r="34" hidden="true" spans="1:9">
      <c r="A34" s="63" t="s">
        <v>44</v>
      </c>
      <c r="B34" s="63">
        <v>2806</v>
      </c>
      <c r="C34" s="63">
        <v>56016.97</v>
      </c>
      <c r="G34" s="63" t="s">
        <v>24</v>
      </c>
      <c r="H34" s="63">
        <v>11440</v>
      </c>
      <c r="I34" s="63">
        <v>170876.76</v>
      </c>
    </row>
    <row r="35" hidden="true" spans="1:9">
      <c r="A35" s="63" t="s">
        <v>14</v>
      </c>
      <c r="B35" s="63">
        <v>6022</v>
      </c>
      <c r="C35" s="63">
        <v>119894.79</v>
      </c>
      <c r="G35" s="63" t="s">
        <v>55</v>
      </c>
      <c r="H35" s="63">
        <v>2250</v>
      </c>
      <c r="I35" s="63">
        <v>32338.37</v>
      </c>
    </row>
    <row r="36" hidden="true" spans="1:9">
      <c r="A36" s="63" t="s">
        <v>64</v>
      </c>
      <c r="B36" s="63">
        <v>6570</v>
      </c>
      <c r="C36" s="63">
        <v>129412.05</v>
      </c>
      <c r="G36" s="63" t="s">
        <v>48</v>
      </c>
      <c r="H36" s="63">
        <v>2400</v>
      </c>
      <c r="I36" s="63">
        <v>35868.5</v>
      </c>
    </row>
    <row r="37" hidden="true" spans="1:9">
      <c r="A37" s="63" t="s">
        <v>17</v>
      </c>
      <c r="B37" s="63">
        <v>26010</v>
      </c>
      <c r="C37" s="63">
        <v>502871.22</v>
      </c>
      <c r="G37" s="63" t="s">
        <v>73</v>
      </c>
      <c r="H37" s="63">
        <v>211473.9566</v>
      </c>
      <c r="I37" s="63">
        <v>3097586.94</v>
      </c>
    </row>
    <row r="38" hidden="true" spans="1:3">
      <c r="A38" s="63" t="s">
        <v>16</v>
      </c>
      <c r="B38" s="63">
        <v>12499.857628</v>
      </c>
      <c r="C38" s="63">
        <v>240956.88</v>
      </c>
    </row>
    <row r="39" hidden="true" spans="1:3">
      <c r="A39" s="63" t="s">
        <v>40</v>
      </c>
      <c r="B39" s="63">
        <v>4170</v>
      </c>
      <c r="C39" s="63">
        <v>79343.55</v>
      </c>
    </row>
    <row r="40" hidden="true" spans="1:3">
      <c r="A40" s="63" t="s">
        <v>12</v>
      </c>
      <c r="B40" s="63">
        <v>21749.527369</v>
      </c>
      <c r="C40" s="63">
        <v>429147.78</v>
      </c>
    </row>
    <row r="41" hidden="true" spans="1:3">
      <c r="A41" s="63" t="s">
        <v>37</v>
      </c>
      <c r="B41" s="63">
        <v>4248</v>
      </c>
      <c r="C41" s="63">
        <v>84920</v>
      </c>
    </row>
    <row r="42" spans="1:3">
      <c r="A42" s="63" t="s">
        <v>22</v>
      </c>
      <c r="B42" s="63">
        <v>750</v>
      </c>
      <c r="C42" s="63">
        <v>14863.01</v>
      </c>
    </row>
    <row r="43" hidden="true" spans="1:3">
      <c r="A43" s="63" t="s">
        <v>21</v>
      </c>
      <c r="B43" s="63">
        <v>234</v>
      </c>
      <c r="C43" s="63">
        <v>4680</v>
      </c>
    </row>
    <row r="44" hidden="true" spans="1:3">
      <c r="A44" s="63" t="s">
        <v>20</v>
      </c>
      <c r="B44" s="63">
        <v>16637.805256</v>
      </c>
      <c r="C44" s="63">
        <v>330400.71</v>
      </c>
    </row>
    <row r="45" spans="1:3">
      <c r="A45" s="63" t="s">
        <v>42</v>
      </c>
      <c r="B45" s="63">
        <v>4723.683506</v>
      </c>
      <c r="C45" s="63">
        <v>86025.71</v>
      </c>
    </row>
    <row r="46" hidden="true" spans="1:3">
      <c r="A46" s="63" t="s">
        <v>24</v>
      </c>
      <c r="B46" s="63">
        <v>8027.7</v>
      </c>
      <c r="C46" s="63">
        <v>160554.65</v>
      </c>
    </row>
    <row r="47" hidden="true" spans="1:3">
      <c r="A47" s="63" t="s">
        <v>45</v>
      </c>
      <c r="B47" s="63">
        <v>10</v>
      </c>
      <c r="C47" s="63">
        <v>200</v>
      </c>
    </row>
    <row r="48" hidden="true" spans="1:3">
      <c r="A48" s="63" t="s">
        <v>55</v>
      </c>
      <c r="B48" s="63">
        <v>2480</v>
      </c>
      <c r="C48" s="63">
        <v>51952.88</v>
      </c>
    </row>
    <row r="49" hidden="true" spans="1:3">
      <c r="A49" s="63" t="s">
        <v>46</v>
      </c>
      <c r="B49" s="63">
        <v>970</v>
      </c>
      <c r="C49" s="63">
        <v>19346.85</v>
      </c>
    </row>
    <row r="50" hidden="true" spans="1:3">
      <c r="A50" s="63" t="s">
        <v>23</v>
      </c>
      <c r="B50" s="63">
        <v>20149</v>
      </c>
      <c r="C50" s="63">
        <v>401999.22</v>
      </c>
    </row>
    <row r="51" hidden="true" spans="1:3">
      <c r="A51" s="63" t="s">
        <v>48</v>
      </c>
      <c r="B51" s="63">
        <v>6615</v>
      </c>
      <c r="C51" s="63">
        <v>130292.76</v>
      </c>
    </row>
    <row r="52" hidden="true" spans="1:3">
      <c r="A52" s="63" t="s">
        <v>73</v>
      </c>
      <c r="B52" s="63">
        <v>597779.396831001</v>
      </c>
      <c r="C52" s="63">
        <v>11507050.55</v>
      </c>
    </row>
  </sheetData>
  <autoFilter ref="A1:I52">
    <filterColumn colId="0">
      <customFilters>
        <customFilter operator="equal" val="张家界经济发展融资担保有限公司"/>
        <customFilter operator="equal" val="长沙经济技术开发区融资担保有限公司"/>
      </custom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2:O62"/>
  <sheetViews>
    <sheetView zoomScale="50" zoomScaleNormal="50" workbookViewId="0">
      <pane ySplit="4" topLeftCell="A23" activePane="bottomLeft" state="frozen"/>
      <selection/>
      <selection pane="bottomLeft" activeCell="E32" sqref="E32"/>
    </sheetView>
  </sheetViews>
  <sheetFormatPr defaultColWidth="8.88333333333333" defaultRowHeight="13.5"/>
  <cols>
    <col min="1" max="1" width="11.7583333333333" customWidth="true"/>
    <col min="2" max="2" width="65.8833333333333" style="27" customWidth="true"/>
    <col min="3" max="3" width="36.7583333333333" customWidth="true"/>
    <col min="4" max="4" width="26.5" customWidth="true"/>
    <col min="5" max="5" width="31.5" customWidth="true"/>
    <col min="6" max="6" width="29.5" customWidth="true"/>
    <col min="7" max="7" width="29" customWidth="true"/>
    <col min="9" max="9" width="21.8833333333333" customWidth="true"/>
    <col min="10" max="10" width="20.7583333333333" customWidth="true"/>
    <col min="11" max="11" width="21.8833333333333" customWidth="true"/>
    <col min="12" max="12" width="15.625" customWidth="true"/>
    <col min="13" max="13" width="17.625" customWidth="true"/>
  </cols>
  <sheetData>
    <row r="2" ht="89.1" customHeight="true" spans="1:7">
      <c r="A2" s="58" t="s">
        <v>0</v>
      </c>
      <c r="B2" s="58"/>
      <c r="C2" s="58"/>
      <c r="D2" s="58"/>
      <c r="E2" s="58"/>
      <c r="F2" s="58"/>
      <c r="G2" s="58"/>
    </row>
    <row r="3" ht="75" customHeight="true" spans="1:7">
      <c r="A3" s="31" t="s">
        <v>1</v>
      </c>
      <c r="B3" s="31" t="s">
        <v>2</v>
      </c>
      <c r="C3" s="31" t="s">
        <v>3</v>
      </c>
      <c r="D3" s="31"/>
      <c r="E3" s="31"/>
      <c r="F3" s="31"/>
      <c r="G3" s="39" t="s">
        <v>4</v>
      </c>
    </row>
    <row r="4" ht="77.1" customHeight="true" spans="1:7">
      <c r="A4" s="31"/>
      <c r="B4" s="31"/>
      <c r="C4" s="39" t="s">
        <v>5</v>
      </c>
      <c r="D4" s="39" t="s">
        <v>6</v>
      </c>
      <c r="E4" s="39" t="s">
        <v>7</v>
      </c>
      <c r="F4" s="39" t="s">
        <v>6</v>
      </c>
      <c r="G4" s="39"/>
    </row>
    <row r="5" ht="45" customHeight="true" spans="1:15">
      <c r="A5" s="31">
        <v>1</v>
      </c>
      <c r="B5" s="32" t="s">
        <v>8</v>
      </c>
      <c r="C5" s="33">
        <v>236873.70042</v>
      </c>
      <c r="D5" s="33">
        <v>452.085431999998</v>
      </c>
      <c r="E5" s="33">
        <v>8450</v>
      </c>
      <c r="F5" s="33">
        <v>10.984728</v>
      </c>
      <c r="G5" s="40">
        <v>463.070159999998</v>
      </c>
      <c r="I5" s="61">
        <f>ROUND(C5,2)</f>
        <v>236873.7</v>
      </c>
      <c r="J5" s="61">
        <f>ROUND(D5,2)</f>
        <v>452.09</v>
      </c>
      <c r="K5" s="61">
        <f>ROUND(E5,2)</f>
        <v>8450</v>
      </c>
      <c r="L5" s="61">
        <f>ROUND(F5,2)</f>
        <v>10.98</v>
      </c>
      <c r="M5" s="61">
        <f>ROUND(G5,2)</f>
        <v>463.07</v>
      </c>
      <c r="O5">
        <f>J5+L5-M5</f>
        <v>0</v>
      </c>
    </row>
    <row r="6" ht="45" customHeight="true" spans="1:15">
      <c r="A6" s="34">
        <v>2</v>
      </c>
      <c r="B6" s="32" t="s">
        <v>9</v>
      </c>
      <c r="C6" s="33">
        <v>10298.65</v>
      </c>
      <c r="D6" s="33">
        <v>14.934115</v>
      </c>
      <c r="E6" s="33">
        <v>13520</v>
      </c>
      <c r="F6" s="33">
        <v>20.121989</v>
      </c>
      <c r="G6" s="40">
        <v>35.056104</v>
      </c>
      <c r="I6" s="61">
        <f t="shared" ref="I6:I62" si="0">ROUND(C6,2)</f>
        <v>10298.65</v>
      </c>
      <c r="J6" s="61">
        <f t="shared" ref="J6:J62" si="1">ROUND(D6,2)</f>
        <v>14.93</v>
      </c>
      <c r="K6" s="61">
        <f t="shared" ref="K6:K62" si="2">ROUND(E6,2)</f>
        <v>13520</v>
      </c>
      <c r="L6" s="61">
        <f t="shared" ref="L6:L62" si="3">ROUND(F6,2)</f>
        <v>20.12</v>
      </c>
      <c r="M6" s="61">
        <f t="shared" ref="M6:M62" si="4">ROUND(G6,2)</f>
        <v>35.06</v>
      </c>
      <c r="O6">
        <f t="shared" ref="O6:O37" si="5">J6+L6-M6</f>
        <v>-0.0100000000000051</v>
      </c>
    </row>
    <row r="7" ht="45" customHeight="true" spans="1:15">
      <c r="A7" s="34">
        <v>3</v>
      </c>
      <c r="B7" s="32" t="s">
        <v>10</v>
      </c>
      <c r="C7" s="33">
        <v>28794</v>
      </c>
      <c r="D7" s="33">
        <v>56.414318</v>
      </c>
      <c r="E7" s="33">
        <v>9190</v>
      </c>
      <c r="F7" s="33">
        <v>13.693358</v>
      </c>
      <c r="G7" s="40">
        <v>70.107676</v>
      </c>
      <c r="I7" s="61">
        <f t="shared" si="0"/>
        <v>28794</v>
      </c>
      <c r="J7" s="61">
        <f t="shared" si="1"/>
        <v>56.41</v>
      </c>
      <c r="K7" s="61">
        <f t="shared" si="2"/>
        <v>9190</v>
      </c>
      <c r="L7" s="61">
        <f t="shared" si="3"/>
        <v>13.69</v>
      </c>
      <c r="M7" s="61">
        <f t="shared" si="4"/>
        <v>70.11</v>
      </c>
      <c r="O7">
        <f t="shared" si="5"/>
        <v>-0.0100000000000051</v>
      </c>
    </row>
    <row r="8" ht="45" customHeight="true" spans="1:15">
      <c r="A8" s="34">
        <v>4</v>
      </c>
      <c r="B8" s="32" t="s">
        <v>11</v>
      </c>
      <c r="C8" s="33">
        <f>0</f>
        <v>0</v>
      </c>
      <c r="D8" s="33">
        <f>0</f>
        <v>0</v>
      </c>
      <c r="E8" s="33">
        <f>0</f>
        <v>0</v>
      </c>
      <c r="F8" s="33">
        <f>0</f>
        <v>0</v>
      </c>
      <c r="G8" s="40">
        <v>0</v>
      </c>
      <c r="I8" s="61">
        <f t="shared" si="0"/>
        <v>0</v>
      </c>
      <c r="J8" s="61">
        <f t="shared" si="1"/>
        <v>0</v>
      </c>
      <c r="K8" s="61">
        <f t="shared" si="2"/>
        <v>0</v>
      </c>
      <c r="L8" s="61">
        <f t="shared" si="3"/>
        <v>0</v>
      </c>
      <c r="M8" s="61">
        <f t="shared" si="4"/>
        <v>0</v>
      </c>
      <c r="O8">
        <f t="shared" si="5"/>
        <v>0</v>
      </c>
    </row>
    <row r="9" ht="45" customHeight="true" spans="1:15">
      <c r="A9" s="34">
        <v>5</v>
      </c>
      <c r="B9" s="32" t="s">
        <v>12</v>
      </c>
      <c r="C9" s="33">
        <v>21749.527369</v>
      </c>
      <c r="D9" s="33">
        <v>42.914778</v>
      </c>
      <c r="E9" s="33">
        <v>24986</v>
      </c>
      <c r="F9" s="33">
        <v>37.276688</v>
      </c>
      <c r="G9" s="40">
        <v>80.191466</v>
      </c>
      <c r="I9" s="61">
        <f t="shared" si="0"/>
        <v>21749.53</v>
      </c>
      <c r="J9" s="61">
        <f t="shared" si="1"/>
        <v>42.91</v>
      </c>
      <c r="K9" s="61">
        <f t="shared" si="2"/>
        <v>24986</v>
      </c>
      <c r="L9" s="61">
        <f t="shared" si="3"/>
        <v>37.28</v>
      </c>
      <c r="M9" s="61">
        <f t="shared" si="4"/>
        <v>80.19</v>
      </c>
      <c r="O9">
        <f t="shared" si="5"/>
        <v>0</v>
      </c>
    </row>
    <row r="10" ht="45" customHeight="true" spans="1:15">
      <c r="A10" s="34">
        <v>6</v>
      </c>
      <c r="B10" s="32" t="s">
        <v>13</v>
      </c>
      <c r="C10" s="33">
        <v>7509</v>
      </c>
      <c r="D10" s="33">
        <v>13.12006</v>
      </c>
      <c r="E10" s="33">
        <v>7690</v>
      </c>
      <c r="F10" s="33">
        <v>11.510756</v>
      </c>
      <c r="G10" s="40">
        <v>24.630816</v>
      </c>
      <c r="I10" s="61">
        <f t="shared" si="0"/>
        <v>7509</v>
      </c>
      <c r="J10" s="61">
        <f t="shared" si="1"/>
        <v>13.12</v>
      </c>
      <c r="K10" s="61">
        <f t="shared" si="2"/>
        <v>7690</v>
      </c>
      <c r="L10" s="61">
        <f t="shared" si="3"/>
        <v>11.51</v>
      </c>
      <c r="M10" s="61">
        <f t="shared" si="4"/>
        <v>24.63</v>
      </c>
      <c r="O10">
        <f t="shared" si="5"/>
        <v>0</v>
      </c>
    </row>
    <row r="11" ht="45" customHeight="true" spans="1:15">
      <c r="A11" s="34">
        <v>7</v>
      </c>
      <c r="B11" s="32" t="s">
        <v>14</v>
      </c>
      <c r="C11" s="33">
        <v>6022</v>
      </c>
      <c r="D11" s="33">
        <v>11.989479</v>
      </c>
      <c r="E11" s="33">
        <v>2500</v>
      </c>
      <c r="F11" s="33">
        <v>3.684452</v>
      </c>
      <c r="G11" s="40">
        <v>15.673931</v>
      </c>
      <c r="I11" s="61">
        <f t="shared" si="0"/>
        <v>6022</v>
      </c>
      <c r="J11" s="61">
        <f t="shared" si="1"/>
        <v>11.99</v>
      </c>
      <c r="K11" s="61">
        <f t="shared" si="2"/>
        <v>2500</v>
      </c>
      <c r="L11" s="61">
        <f t="shared" si="3"/>
        <v>3.68</v>
      </c>
      <c r="M11" s="61">
        <f t="shared" si="4"/>
        <v>15.67</v>
      </c>
      <c r="O11">
        <f t="shared" si="5"/>
        <v>0</v>
      </c>
    </row>
    <row r="12" ht="45" customHeight="true" spans="1:15">
      <c r="A12" s="34">
        <v>8</v>
      </c>
      <c r="B12" s="32" t="s">
        <v>15</v>
      </c>
      <c r="C12" s="33">
        <v>13590</v>
      </c>
      <c r="D12" s="33">
        <v>26.883888</v>
      </c>
      <c r="E12" s="33">
        <v>11490</v>
      </c>
      <c r="F12" s="33">
        <v>17.197851</v>
      </c>
      <c r="G12" s="40">
        <v>44.081739</v>
      </c>
      <c r="I12" s="61">
        <f t="shared" si="0"/>
        <v>13590</v>
      </c>
      <c r="J12" s="61">
        <f t="shared" si="1"/>
        <v>26.88</v>
      </c>
      <c r="K12" s="61">
        <f t="shared" si="2"/>
        <v>11490</v>
      </c>
      <c r="L12" s="61">
        <f t="shared" si="3"/>
        <v>17.2</v>
      </c>
      <c r="M12" s="61">
        <f t="shared" si="4"/>
        <v>44.08</v>
      </c>
      <c r="O12">
        <f t="shared" si="5"/>
        <v>0</v>
      </c>
    </row>
    <row r="13" ht="45" customHeight="true" spans="1:15">
      <c r="A13" s="34">
        <v>9</v>
      </c>
      <c r="B13" s="32" t="s">
        <v>16</v>
      </c>
      <c r="C13" s="33">
        <v>12499.857628</v>
      </c>
      <c r="D13" s="33">
        <v>24.095688</v>
      </c>
      <c r="E13" s="33">
        <v>5405</v>
      </c>
      <c r="F13" s="33">
        <v>6.323732</v>
      </c>
      <c r="G13" s="40">
        <v>30.41942</v>
      </c>
      <c r="I13" s="61">
        <f t="shared" si="0"/>
        <v>12499.86</v>
      </c>
      <c r="J13" s="61">
        <f t="shared" si="1"/>
        <v>24.1</v>
      </c>
      <c r="K13" s="61">
        <f t="shared" si="2"/>
        <v>5405</v>
      </c>
      <c r="L13" s="61">
        <f t="shared" si="3"/>
        <v>6.32</v>
      </c>
      <c r="M13" s="61">
        <f t="shared" si="4"/>
        <v>30.42</v>
      </c>
      <c r="O13">
        <f t="shared" si="5"/>
        <v>0</v>
      </c>
    </row>
    <row r="14" ht="45" customHeight="true" spans="1:15">
      <c r="A14" s="34">
        <v>10</v>
      </c>
      <c r="B14" s="32" t="s">
        <v>17</v>
      </c>
      <c r="C14" s="33">
        <v>26010</v>
      </c>
      <c r="D14" s="33">
        <v>50.287122</v>
      </c>
      <c r="E14" s="33">
        <v>10650</v>
      </c>
      <c r="F14" s="33">
        <v>15.355071</v>
      </c>
      <c r="G14" s="40">
        <v>65.642193</v>
      </c>
      <c r="I14" s="61">
        <f t="shared" si="0"/>
        <v>26010</v>
      </c>
      <c r="J14" s="61">
        <f t="shared" si="1"/>
        <v>50.29</v>
      </c>
      <c r="K14" s="61">
        <f t="shared" si="2"/>
        <v>10650</v>
      </c>
      <c r="L14" s="61">
        <f t="shared" si="3"/>
        <v>15.36</v>
      </c>
      <c r="M14" s="61">
        <f t="shared" si="4"/>
        <v>65.64</v>
      </c>
      <c r="O14">
        <f t="shared" si="5"/>
        <v>0.0100000000000051</v>
      </c>
    </row>
    <row r="15" ht="45" customHeight="true" spans="1:15">
      <c r="A15" s="34">
        <v>11</v>
      </c>
      <c r="B15" s="32" t="s">
        <v>18</v>
      </c>
      <c r="C15" s="33">
        <v>11869</v>
      </c>
      <c r="D15" s="59">
        <v>23.448713</v>
      </c>
      <c r="E15" s="33">
        <v>4000</v>
      </c>
      <c r="F15" s="33">
        <v>5.889041</v>
      </c>
      <c r="G15" s="40">
        <v>29.337754</v>
      </c>
      <c r="I15" s="61">
        <f t="shared" si="0"/>
        <v>11869</v>
      </c>
      <c r="J15" s="61">
        <f t="shared" si="1"/>
        <v>23.45</v>
      </c>
      <c r="K15" s="61">
        <f t="shared" si="2"/>
        <v>4000</v>
      </c>
      <c r="L15" s="61">
        <f t="shared" si="3"/>
        <v>5.89</v>
      </c>
      <c r="M15" s="61">
        <f t="shared" si="4"/>
        <v>29.34</v>
      </c>
      <c r="O15">
        <f t="shared" si="5"/>
        <v>0</v>
      </c>
    </row>
    <row r="16" ht="45" customHeight="true" spans="1:15">
      <c r="A16" s="34">
        <v>12</v>
      </c>
      <c r="B16" s="32" t="s">
        <v>19</v>
      </c>
      <c r="C16" s="33">
        <v>5045</v>
      </c>
      <c r="D16" s="59">
        <v>9.471726</v>
      </c>
      <c r="E16" s="33">
        <v>3430</v>
      </c>
      <c r="F16" s="33">
        <v>3.815959</v>
      </c>
      <c r="G16" s="40">
        <v>13.287685</v>
      </c>
      <c r="I16" s="61">
        <f t="shared" si="0"/>
        <v>5045</v>
      </c>
      <c r="J16" s="61">
        <f t="shared" si="1"/>
        <v>9.47</v>
      </c>
      <c r="K16" s="61">
        <f t="shared" si="2"/>
        <v>3430</v>
      </c>
      <c r="L16" s="61">
        <f t="shared" si="3"/>
        <v>3.82</v>
      </c>
      <c r="M16" s="61">
        <f t="shared" si="4"/>
        <v>13.29</v>
      </c>
      <c r="O16">
        <f t="shared" si="5"/>
        <v>0</v>
      </c>
    </row>
    <row r="17" ht="45" customHeight="true" spans="1:15">
      <c r="A17" s="34">
        <v>13</v>
      </c>
      <c r="B17" s="32" t="s">
        <v>20</v>
      </c>
      <c r="C17" s="33">
        <v>16637.805256</v>
      </c>
      <c r="D17" s="59">
        <v>33.040071</v>
      </c>
      <c r="E17" s="33">
        <v>9250</v>
      </c>
      <c r="F17" s="33">
        <v>13.786854</v>
      </c>
      <c r="G17" s="40">
        <v>46.826925</v>
      </c>
      <c r="I17" s="61">
        <f t="shared" si="0"/>
        <v>16637.81</v>
      </c>
      <c r="J17" s="61">
        <f t="shared" si="1"/>
        <v>33.04</v>
      </c>
      <c r="K17" s="61">
        <f t="shared" si="2"/>
        <v>9250</v>
      </c>
      <c r="L17" s="61">
        <f t="shared" si="3"/>
        <v>13.79</v>
      </c>
      <c r="M17" s="61">
        <f t="shared" si="4"/>
        <v>46.83</v>
      </c>
      <c r="O17">
        <f t="shared" si="5"/>
        <v>0</v>
      </c>
    </row>
    <row r="18" ht="45" customHeight="true" spans="1:15">
      <c r="A18" s="34">
        <v>14</v>
      </c>
      <c r="B18" s="32" t="s">
        <v>21</v>
      </c>
      <c r="C18" s="33">
        <v>234</v>
      </c>
      <c r="D18" s="59">
        <v>0.468</v>
      </c>
      <c r="E18" s="33">
        <f>0</f>
        <v>0</v>
      </c>
      <c r="F18" s="33">
        <f>0</f>
        <v>0</v>
      </c>
      <c r="G18" s="40">
        <v>0.468</v>
      </c>
      <c r="I18" s="61">
        <f t="shared" si="0"/>
        <v>234</v>
      </c>
      <c r="J18" s="61">
        <f t="shared" si="1"/>
        <v>0.47</v>
      </c>
      <c r="K18" s="61">
        <f t="shared" si="2"/>
        <v>0</v>
      </c>
      <c r="L18" s="61">
        <f t="shared" si="3"/>
        <v>0</v>
      </c>
      <c r="M18" s="61">
        <f t="shared" si="4"/>
        <v>0.47</v>
      </c>
      <c r="O18">
        <f t="shared" si="5"/>
        <v>0</v>
      </c>
    </row>
    <row r="19" ht="45" customHeight="true" spans="1:15">
      <c r="A19" s="34">
        <v>15</v>
      </c>
      <c r="B19" s="32" t="s">
        <v>22</v>
      </c>
      <c r="C19" s="33">
        <v>750</v>
      </c>
      <c r="D19" s="59">
        <v>1.486301</v>
      </c>
      <c r="E19" s="33">
        <v>11830</v>
      </c>
      <c r="F19" s="33">
        <v>17.689932</v>
      </c>
      <c r="G19" s="40">
        <v>19.176233</v>
      </c>
      <c r="I19" s="61">
        <f t="shared" si="0"/>
        <v>750</v>
      </c>
      <c r="J19" s="61">
        <f t="shared" si="1"/>
        <v>1.49</v>
      </c>
      <c r="K19" s="61">
        <f t="shared" si="2"/>
        <v>11830</v>
      </c>
      <c r="L19" s="61">
        <f t="shared" si="3"/>
        <v>17.69</v>
      </c>
      <c r="M19" s="61">
        <f t="shared" si="4"/>
        <v>19.18</v>
      </c>
      <c r="O19">
        <f t="shared" si="5"/>
        <v>0</v>
      </c>
    </row>
    <row r="20" ht="45" customHeight="true" spans="1:15">
      <c r="A20" s="34">
        <v>16</v>
      </c>
      <c r="B20" s="32" t="s">
        <v>23</v>
      </c>
      <c r="C20" s="33">
        <v>20149</v>
      </c>
      <c r="D20" s="59">
        <v>40.199922</v>
      </c>
      <c r="E20" s="33">
        <f>0</f>
        <v>0</v>
      </c>
      <c r="F20" s="33">
        <f>0</f>
        <v>0</v>
      </c>
      <c r="G20" s="40">
        <v>40.199922</v>
      </c>
      <c r="I20" s="61">
        <f t="shared" si="0"/>
        <v>20149</v>
      </c>
      <c r="J20" s="61">
        <f t="shared" si="1"/>
        <v>40.2</v>
      </c>
      <c r="K20" s="61">
        <f t="shared" si="2"/>
        <v>0</v>
      </c>
      <c r="L20" s="61">
        <f t="shared" si="3"/>
        <v>0</v>
      </c>
      <c r="M20" s="61">
        <f t="shared" si="4"/>
        <v>40.2</v>
      </c>
      <c r="O20">
        <f t="shared" si="5"/>
        <v>0</v>
      </c>
    </row>
    <row r="21" ht="45" customHeight="true" spans="1:15">
      <c r="A21" s="34">
        <v>17</v>
      </c>
      <c r="B21" s="32" t="s">
        <v>24</v>
      </c>
      <c r="C21" s="33">
        <v>8027.7</v>
      </c>
      <c r="D21" s="59">
        <v>16.055465</v>
      </c>
      <c r="E21" s="33">
        <v>11440</v>
      </c>
      <c r="F21" s="33">
        <v>17.087676</v>
      </c>
      <c r="G21" s="40">
        <v>33.143141</v>
      </c>
      <c r="I21" s="61">
        <f t="shared" si="0"/>
        <v>8027.7</v>
      </c>
      <c r="J21" s="61">
        <f t="shared" si="1"/>
        <v>16.06</v>
      </c>
      <c r="K21" s="61">
        <f t="shared" si="2"/>
        <v>11440</v>
      </c>
      <c r="L21" s="61">
        <f t="shared" si="3"/>
        <v>17.09</v>
      </c>
      <c r="M21" s="61">
        <f t="shared" si="4"/>
        <v>33.14</v>
      </c>
      <c r="O21">
        <f t="shared" si="5"/>
        <v>0.00999999999999801</v>
      </c>
    </row>
    <row r="22" ht="45" customHeight="true" spans="1:15">
      <c r="A22" s="34">
        <v>18</v>
      </c>
      <c r="B22" s="32" t="s">
        <v>25</v>
      </c>
      <c r="C22" s="33">
        <v>10678</v>
      </c>
      <c r="D22" s="59">
        <v>21.143639</v>
      </c>
      <c r="E22" s="33">
        <v>4500</v>
      </c>
      <c r="F22" s="33">
        <v>6.627946</v>
      </c>
      <c r="G22" s="40">
        <v>27.771585</v>
      </c>
      <c r="I22" s="61">
        <f t="shared" si="0"/>
        <v>10678</v>
      </c>
      <c r="J22" s="61">
        <f t="shared" si="1"/>
        <v>21.14</v>
      </c>
      <c r="K22" s="61">
        <f t="shared" si="2"/>
        <v>4500</v>
      </c>
      <c r="L22" s="61">
        <f t="shared" si="3"/>
        <v>6.63</v>
      </c>
      <c r="M22" s="61">
        <f t="shared" si="4"/>
        <v>27.77</v>
      </c>
      <c r="O22">
        <f t="shared" si="5"/>
        <v>0</v>
      </c>
    </row>
    <row r="23" ht="45" customHeight="true" spans="1:15">
      <c r="A23" s="34">
        <v>19</v>
      </c>
      <c r="B23" s="32" t="s">
        <v>26</v>
      </c>
      <c r="C23" s="33">
        <v>3475</v>
      </c>
      <c r="D23" s="59">
        <v>6.394409</v>
      </c>
      <c r="E23" s="33">
        <f>0</f>
        <v>0</v>
      </c>
      <c r="F23" s="33">
        <f>0</f>
        <v>0</v>
      </c>
      <c r="G23" s="40">
        <v>6.394409</v>
      </c>
      <c r="I23" s="61">
        <f t="shared" si="0"/>
        <v>3475</v>
      </c>
      <c r="J23" s="61">
        <f t="shared" si="1"/>
        <v>6.39</v>
      </c>
      <c r="K23" s="61">
        <f t="shared" si="2"/>
        <v>0</v>
      </c>
      <c r="L23" s="61">
        <f t="shared" si="3"/>
        <v>0</v>
      </c>
      <c r="M23" s="61">
        <f t="shared" si="4"/>
        <v>6.39</v>
      </c>
      <c r="O23">
        <f t="shared" si="5"/>
        <v>0</v>
      </c>
    </row>
    <row r="24" ht="45" customHeight="true" spans="1:15">
      <c r="A24" s="34">
        <v>20</v>
      </c>
      <c r="B24" s="32" t="s">
        <v>27</v>
      </c>
      <c r="C24" s="33">
        <v>12046</v>
      </c>
      <c r="D24" s="59">
        <v>23.334597</v>
      </c>
      <c r="E24" s="33">
        <v>3929.9566</v>
      </c>
      <c r="F24" s="33">
        <v>5.885278</v>
      </c>
      <c r="G24" s="40">
        <v>29.219875</v>
      </c>
      <c r="I24" s="61">
        <f t="shared" si="0"/>
        <v>12046</v>
      </c>
      <c r="J24" s="61">
        <f t="shared" si="1"/>
        <v>23.33</v>
      </c>
      <c r="K24" s="61">
        <f t="shared" si="2"/>
        <v>3929.96</v>
      </c>
      <c r="L24" s="61">
        <f t="shared" si="3"/>
        <v>5.89</v>
      </c>
      <c r="M24" s="61">
        <f t="shared" si="4"/>
        <v>29.22</v>
      </c>
      <c r="O24">
        <f t="shared" si="5"/>
        <v>0</v>
      </c>
    </row>
    <row r="25" ht="45" customHeight="true" spans="1:15">
      <c r="A25" s="34">
        <v>21</v>
      </c>
      <c r="B25" s="32" t="s">
        <v>28</v>
      </c>
      <c r="C25" s="33">
        <v>8670</v>
      </c>
      <c r="D25" s="59">
        <v>17.252875</v>
      </c>
      <c r="E25" s="33">
        <v>2700</v>
      </c>
      <c r="F25" s="33">
        <v>4.025343</v>
      </c>
      <c r="G25" s="40">
        <v>21.278218</v>
      </c>
      <c r="I25" s="61">
        <f t="shared" si="0"/>
        <v>8670</v>
      </c>
      <c r="J25" s="61">
        <f t="shared" si="1"/>
        <v>17.25</v>
      </c>
      <c r="K25" s="61">
        <f t="shared" si="2"/>
        <v>2700</v>
      </c>
      <c r="L25" s="61">
        <f t="shared" si="3"/>
        <v>4.03</v>
      </c>
      <c r="M25" s="61">
        <f t="shared" si="4"/>
        <v>21.28</v>
      </c>
      <c r="O25">
        <f t="shared" si="5"/>
        <v>0</v>
      </c>
    </row>
    <row r="26" ht="45" customHeight="true" spans="1:15">
      <c r="A26" s="34">
        <v>22</v>
      </c>
      <c r="B26" s="32" t="s">
        <v>30</v>
      </c>
      <c r="C26" s="33">
        <v>10420.6</v>
      </c>
      <c r="D26" s="59">
        <v>16.485639</v>
      </c>
      <c r="E26" s="33">
        <f t="shared" ref="E26:F28" si="6">0</f>
        <v>0</v>
      </c>
      <c r="F26" s="33">
        <f t="shared" si="6"/>
        <v>0</v>
      </c>
      <c r="G26" s="40">
        <v>16.485639</v>
      </c>
      <c r="I26" s="61">
        <f t="shared" si="0"/>
        <v>10420.6</v>
      </c>
      <c r="J26" s="61">
        <f t="shared" si="1"/>
        <v>16.49</v>
      </c>
      <c r="K26" s="61">
        <f t="shared" si="2"/>
        <v>0</v>
      </c>
      <c r="L26" s="61">
        <f t="shared" si="3"/>
        <v>0</v>
      </c>
      <c r="M26" s="61">
        <f t="shared" si="4"/>
        <v>16.49</v>
      </c>
      <c r="O26">
        <f t="shared" si="5"/>
        <v>0</v>
      </c>
    </row>
    <row r="27" ht="45" customHeight="true" spans="1:15">
      <c r="A27" s="34">
        <v>23</v>
      </c>
      <c r="B27" s="32" t="s">
        <v>31</v>
      </c>
      <c r="C27" s="33">
        <v>1240</v>
      </c>
      <c r="D27" s="59">
        <v>3.173699</v>
      </c>
      <c r="E27" s="33">
        <f t="shared" si="6"/>
        <v>0</v>
      </c>
      <c r="F27" s="33">
        <f t="shared" si="6"/>
        <v>0</v>
      </c>
      <c r="G27" s="40">
        <v>3.173699</v>
      </c>
      <c r="I27" s="61">
        <f t="shared" si="0"/>
        <v>1240</v>
      </c>
      <c r="J27" s="61">
        <f t="shared" si="1"/>
        <v>3.17</v>
      </c>
      <c r="K27" s="61">
        <f t="shared" si="2"/>
        <v>0</v>
      </c>
      <c r="L27" s="61">
        <f t="shared" si="3"/>
        <v>0</v>
      </c>
      <c r="M27" s="61">
        <f t="shared" si="4"/>
        <v>3.17</v>
      </c>
      <c r="O27">
        <f t="shared" si="5"/>
        <v>0</v>
      </c>
    </row>
    <row r="28" ht="45" customHeight="true" spans="1:15">
      <c r="A28" s="34">
        <v>24</v>
      </c>
      <c r="B28" s="32" t="s">
        <v>32</v>
      </c>
      <c r="C28" s="33">
        <v>710</v>
      </c>
      <c r="D28" s="59">
        <v>1.41726</v>
      </c>
      <c r="E28" s="33">
        <f t="shared" si="6"/>
        <v>0</v>
      </c>
      <c r="F28" s="33">
        <f t="shared" si="6"/>
        <v>0</v>
      </c>
      <c r="G28" s="40">
        <v>1.41726</v>
      </c>
      <c r="I28" s="61">
        <f t="shared" si="0"/>
        <v>710</v>
      </c>
      <c r="J28" s="61">
        <f t="shared" si="1"/>
        <v>1.42</v>
      </c>
      <c r="K28" s="61">
        <f t="shared" si="2"/>
        <v>0</v>
      </c>
      <c r="L28" s="61">
        <f t="shared" si="3"/>
        <v>0</v>
      </c>
      <c r="M28" s="61">
        <f t="shared" si="4"/>
        <v>1.42</v>
      </c>
      <c r="O28">
        <f t="shared" si="5"/>
        <v>0</v>
      </c>
    </row>
    <row r="29" ht="45" customHeight="true" spans="1:15">
      <c r="A29" s="34">
        <v>25</v>
      </c>
      <c r="B29" s="32" t="s">
        <v>33</v>
      </c>
      <c r="C29" s="33">
        <v>3095</v>
      </c>
      <c r="D29" s="59">
        <v>6.032219</v>
      </c>
      <c r="E29" s="33">
        <v>2560</v>
      </c>
      <c r="F29" s="33">
        <v>3.84</v>
      </c>
      <c r="G29" s="40">
        <v>9.872219</v>
      </c>
      <c r="I29" s="61">
        <f t="shared" si="0"/>
        <v>3095</v>
      </c>
      <c r="J29" s="61">
        <f t="shared" si="1"/>
        <v>6.03</v>
      </c>
      <c r="K29" s="61">
        <f t="shared" si="2"/>
        <v>2560</v>
      </c>
      <c r="L29" s="61">
        <f t="shared" si="3"/>
        <v>3.84</v>
      </c>
      <c r="M29" s="61">
        <f t="shared" si="4"/>
        <v>9.87</v>
      </c>
      <c r="O29">
        <f t="shared" si="5"/>
        <v>0</v>
      </c>
    </row>
    <row r="30" ht="45" customHeight="true" spans="1:15">
      <c r="A30" s="34">
        <v>26</v>
      </c>
      <c r="B30" s="32" t="s">
        <v>35</v>
      </c>
      <c r="C30" s="33">
        <f>0</f>
        <v>0</v>
      </c>
      <c r="D30" s="59">
        <f>0</f>
        <v>0</v>
      </c>
      <c r="E30" s="33">
        <f>0</f>
        <v>0</v>
      </c>
      <c r="F30" s="33">
        <f>0</f>
        <v>0</v>
      </c>
      <c r="G30" s="40">
        <v>0</v>
      </c>
      <c r="I30" s="61">
        <f t="shared" si="0"/>
        <v>0</v>
      </c>
      <c r="J30" s="61">
        <f t="shared" si="1"/>
        <v>0</v>
      </c>
      <c r="K30" s="61">
        <f t="shared" si="2"/>
        <v>0</v>
      </c>
      <c r="L30" s="61">
        <f t="shared" si="3"/>
        <v>0</v>
      </c>
      <c r="M30" s="61">
        <f t="shared" si="4"/>
        <v>0</v>
      </c>
      <c r="O30">
        <f t="shared" si="5"/>
        <v>0</v>
      </c>
    </row>
    <row r="31" ht="45" customHeight="true" spans="1:15">
      <c r="A31" s="34">
        <v>27</v>
      </c>
      <c r="B31" s="32" t="s">
        <v>36</v>
      </c>
      <c r="C31" s="33">
        <v>8070</v>
      </c>
      <c r="D31" s="59">
        <v>15.880656</v>
      </c>
      <c r="E31" s="33">
        <v>5660</v>
      </c>
      <c r="F31" s="33">
        <v>8.453878</v>
      </c>
      <c r="G31" s="40">
        <v>24.334534</v>
      </c>
      <c r="I31" s="61">
        <f t="shared" si="0"/>
        <v>8070</v>
      </c>
      <c r="J31" s="61">
        <f t="shared" si="1"/>
        <v>15.88</v>
      </c>
      <c r="K31" s="61">
        <f t="shared" si="2"/>
        <v>5660</v>
      </c>
      <c r="L31" s="61">
        <f t="shared" si="3"/>
        <v>8.45</v>
      </c>
      <c r="M31" s="61">
        <f t="shared" si="4"/>
        <v>24.33</v>
      </c>
      <c r="O31">
        <f t="shared" si="5"/>
        <v>0</v>
      </c>
    </row>
    <row r="32" ht="45" customHeight="true" spans="1:15">
      <c r="A32" s="34">
        <v>28</v>
      </c>
      <c r="B32" s="32" t="s">
        <v>37</v>
      </c>
      <c r="C32" s="33">
        <v>4248</v>
      </c>
      <c r="D32" s="59">
        <v>8.492</v>
      </c>
      <c r="E32" s="33">
        <f>0</f>
        <v>0</v>
      </c>
      <c r="F32" s="33">
        <f>0</f>
        <v>0</v>
      </c>
      <c r="G32" s="40">
        <v>8.492</v>
      </c>
      <c r="I32" s="61">
        <f t="shared" si="0"/>
        <v>4248</v>
      </c>
      <c r="J32" s="61">
        <f t="shared" si="1"/>
        <v>8.49</v>
      </c>
      <c r="K32" s="61">
        <f t="shared" si="2"/>
        <v>0</v>
      </c>
      <c r="L32" s="61">
        <f t="shared" si="3"/>
        <v>0</v>
      </c>
      <c r="M32" s="61">
        <f t="shared" si="4"/>
        <v>8.49</v>
      </c>
      <c r="O32">
        <f t="shared" si="5"/>
        <v>0</v>
      </c>
    </row>
    <row r="33" ht="45" customHeight="true" spans="1:15">
      <c r="A33" s="34">
        <v>29</v>
      </c>
      <c r="B33" s="32" t="s">
        <v>38</v>
      </c>
      <c r="C33" s="33">
        <v>6738.982</v>
      </c>
      <c r="D33" s="59">
        <v>13.037428</v>
      </c>
      <c r="E33" s="33">
        <v>3750</v>
      </c>
      <c r="F33" s="33">
        <v>6.257467</v>
      </c>
      <c r="G33" s="40">
        <v>19.294895</v>
      </c>
      <c r="I33" s="61">
        <f t="shared" si="0"/>
        <v>6738.98</v>
      </c>
      <c r="J33" s="61">
        <f t="shared" si="1"/>
        <v>13.04</v>
      </c>
      <c r="K33" s="61">
        <f t="shared" si="2"/>
        <v>3750</v>
      </c>
      <c r="L33" s="61">
        <f t="shared" si="3"/>
        <v>6.26</v>
      </c>
      <c r="M33" s="61">
        <f t="shared" si="4"/>
        <v>19.29</v>
      </c>
      <c r="O33">
        <f t="shared" si="5"/>
        <v>0.00999999999999801</v>
      </c>
    </row>
    <row r="34" ht="45" customHeight="true" spans="1:15">
      <c r="A34" s="34">
        <v>30</v>
      </c>
      <c r="B34" s="32" t="s">
        <v>39</v>
      </c>
      <c r="C34" s="33">
        <v>10164</v>
      </c>
      <c r="D34" s="59">
        <v>19.871509</v>
      </c>
      <c r="E34" s="33">
        <v>3400</v>
      </c>
      <c r="F34" s="33">
        <v>5.334246</v>
      </c>
      <c r="G34" s="40">
        <v>25.205755</v>
      </c>
      <c r="I34" s="61">
        <f t="shared" si="0"/>
        <v>10164</v>
      </c>
      <c r="J34" s="61">
        <f t="shared" si="1"/>
        <v>19.87</v>
      </c>
      <c r="K34" s="61">
        <f t="shared" si="2"/>
        <v>3400</v>
      </c>
      <c r="L34" s="61">
        <f t="shared" si="3"/>
        <v>5.33</v>
      </c>
      <c r="M34" s="61">
        <f t="shared" si="4"/>
        <v>25.21</v>
      </c>
      <c r="O34">
        <f t="shared" si="5"/>
        <v>-0.00999999999999801</v>
      </c>
    </row>
    <row r="35" ht="45" customHeight="true" spans="1:15">
      <c r="A35" s="34">
        <v>31</v>
      </c>
      <c r="B35" s="32" t="s">
        <v>40</v>
      </c>
      <c r="C35" s="33">
        <v>4170</v>
      </c>
      <c r="D35" s="59">
        <v>7.934355</v>
      </c>
      <c r="E35" s="33">
        <v>3800</v>
      </c>
      <c r="F35" s="33">
        <v>5.676165</v>
      </c>
      <c r="G35" s="40">
        <v>13.61052</v>
      </c>
      <c r="I35" s="61">
        <f t="shared" si="0"/>
        <v>4170</v>
      </c>
      <c r="J35" s="61">
        <f t="shared" si="1"/>
        <v>7.93</v>
      </c>
      <c r="K35" s="61">
        <f t="shared" si="2"/>
        <v>3800</v>
      </c>
      <c r="L35" s="61">
        <f t="shared" si="3"/>
        <v>5.68</v>
      </c>
      <c r="M35" s="61">
        <f t="shared" si="4"/>
        <v>13.61</v>
      </c>
      <c r="O35">
        <f t="shared" si="5"/>
        <v>0</v>
      </c>
    </row>
    <row r="36" ht="45" customHeight="true" spans="1:15">
      <c r="A36" s="34">
        <v>32</v>
      </c>
      <c r="B36" s="32" t="s">
        <v>41</v>
      </c>
      <c r="C36" s="33">
        <v>1778</v>
      </c>
      <c r="D36" s="59">
        <v>3.469107</v>
      </c>
      <c r="E36" s="33">
        <v>1300</v>
      </c>
      <c r="F36" s="33">
        <v>1.946754</v>
      </c>
      <c r="G36" s="40">
        <v>5.415861</v>
      </c>
      <c r="I36" s="61">
        <f t="shared" si="0"/>
        <v>1778</v>
      </c>
      <c r="J36" s="61">
        <f t="shared" si="1"/>
        <v>3.47</v>
      </c>
      <c r="K36" s="61">
        <f t="shared" si="2"/>
        <v>1300</v>
      </c>
      <c r="L36" s="61">
        <f t="shared" si="3"/>
        <v>1.95</v>
      </c>
      <c r="M36" s="61">
        <f t="shared" si="4"/>
        <v>5.42</v>
      </c>
      <c r="O36">
        <f t="shared" si="5"/>
        <v>0</v>
      </c>
    </row>
    <row r="37" ht="45" customHeight="true" spans="1:15">
      <c r="A37" s="34">
        <v>33</v>
      </c>
      <c r="B37" s="32" t="s">
        <v>42</v>
      </c>
      <c r="C37" s="33">
        <v>4723.683506</v>
      </c>
      <c r="D37" s="59">
        <v>8.602571</v>
      </c>
      <c r="E37" s="33">
        <v>11100</v>
      </c>
      <c r="F37" s="33">
        <v>16.623701</v>
      </c>
      <c r="G37" s="40">
        <v>25.226272</v>
      </c>
      <c r="I37" s="61">
        <f t="shared" si="0"/>
        <v>4723.68</v>
      </c>
      <c r="J37" s="61">
        <f t="shared" si="1"/>
        <v>8.6</v>
      </c>
      <c r="K37" s="61">
        <f t="shared" si="2"/>
        <v>11100</v>
      </c>
      <c r="L37" s="61">
        <f t="shared" si="3"/>
        <v>16.62</v>
      </c>
      <c r="M37" s="61">
        <f t="shared" si="4"/>
        <v>25.23</v>
      </c>
      <c r="O37">
        <f t="shared" si="5"/>
        <v>-0.0100000000000016</v>
      </c>
    </row>
    <row r="38" ht="45" customHeight="true" spans="1:15">
      <c r="A38" s="34">
        <v>34</v>
      </c>
      <c r="B38" s="32" t="s">
        <v>44</v>
      </c>
      <c r="C38" s="33">
        <v>2806</v>
      </c>
      <c r="D38" s="59">
        <v>5.601697</v>
      </c>
      <c r="E38" s="33">
        <v>3700</v>
      </c>
      <c r="F38" s="33">
        <v>4.841507</v>
      </c>
      <c r="G38" s="40">
        <v>10.443204</v>
      </c>
      <c r="I38" s="61">
        <f t="shared" si="0"/>
        <v>2806</v>
      </c>
      <c r="J38" s="61">
        <f t="shared" si="1"/>
        <v>5.6</v>
      </c>
      <c r="K38" s="61">
        <f t="shared" si="2"/>
        <v>3700</v>
      </c>
      <c r="L38" s="61">
        <f t="shared" si="3"/>
        <v>4.84</v>
      </c>
      <c r="M38" s="61">
        <f t="shared" si="4"/>
        <v>10.44</v>
      </c>
      <c r="O38">
        <f t="shared" ref="O38:O62" si="7">J38+L38-M38</f>
        <v>0</v>
      </c>
    </row>
    <row r="39" ht="45" customHeight="true" spans="1:15">
      <c r="A39" s="34">
        <v>35</v>
      </c>
      <c r="B39" s="32" t="s">
        <v>45</v>
      </c>
      <c r="C39" s="33">
        <v>10</v>
      </c>
      <c r="D39" s="59">
        <v>0.02</v>
      </c>
      <c r="E39" s="33">
        <f>0</f>
        <v>0</v>
      </c>
      <c r="F39" s="33">
        <f>0</f>
        <v>0</v>
      </c>
      <c r="G39" s="40">
        <v>0.02</v>
      </c>
      <c r="I39" s="61">
        <f t="shared" si="0"/>
        <v>10</v>
      </c>
      <c r="J39" s="61">
        <f t="shared" si="1"/>
        <v>0.02</v>
      </c>
      <c r="K39" s="61">
        <f t="shared" si="2"/>
        <v>0</v>
      </c>
      <c r="L39" s="61">
        <f t="shared" si="3"/>
        <v>0</v>
      </c>
      <c r="M39" s="61">
        <f t="shared" si="4"/>
        <v>0.02</v>
      </c>
      <c r="O39">
        <f t="shared" si="7"/>
        <v>0</v>
      </c>
    </row>
    <row r="40" ht="45" customHeight="true" spans="1:15">
      <c r="A40" s="34">
        <v>36</v>
      </c>
      <c r="B40" s="32" t="s">
        <v>46</v>
      </c>
      <c r="C40" s="33">
        <v>970</v>
      </c>
      <c r="D40" s="59">
        <v>1.934685</v>
      </c>
      <c r="E40" s="33">
        <f>0</f>
        <v>0</v>
      </c>
      <c r="F40" s="33">
        <f>0</f>
        <v>0</v>
      </c>
      <c r="G40" s="40">
        <v>1.934685</v>
      </c>
      <c r="I40" s="61">
        <f t="shared" si="0"/>
        <v>970</v>
      </c>
      <c r="J40" s="61">
        <f t="shared" si="1"/>
        <v>1.93</v>
      </c>
      <c r="K40" s="61">
        <f t="shared" si="2"/>
        <v>0</v>
      </c>
      <c r="L40" s="61">
        <f t="shared" si="3"/>
        <v>0</v>
      </c>
      <c r="M40" s="61">
        <f t="shared" si="4"/>
        <v>1.93</v>
      </c>
      <c r="O40">
        <f t="shared" si="7"/>
        <v>0</v>
      </c>
    </row>
    <row r="41" ht="45" customHeight="true" spans="1:15">
      <c r="A41" s="34">
        <v>37</v>
      </c>
      <c r="B41" s="32" t="s">
        <v>47</v>
      </c>
      <c r="C41" s="33">
        <v>4100.5982</v>
      </c>
      <c r="D41" s="59">
        <v>8.078018</v>
      </c>
      <c r="E41" s="33">
        <v>4150</v>
      </c>
      <c r="F41" s="33">
        <v>5.461233</v>
      </c>
      <c r="G41" s="40">
        <v>13.539251</v>
      </c>
      <c r="I41" s="61">
        <f t="shared" si="0"/>
        <v>4100.6</v>
      </c>
      <c r="J41" s="61">
        <f t="shared" si="1"/>
        <v>8.08</v>
      </c>
      <c r="K41" s="61">
        <f t="shared" si="2"/>
        <v>4150</v>
      </c>
      <c r="L41" s="61">
        <f t="shared" si="3"/>
        <v>5.46</v>
      </c>
      <c r="M41" s="61">
        <f t="shared" si="4"/>
        <v>13.54</v>
      </c>
      <c r="O41">
        <f t="shared" si="7"/>
        <v>0</v>
      </c>
    </row>
    <row r="42" ht="45" customHeight="true" spans="1:15">
      <c r="A42" s="34">
        <v>38</v>
      </c>
      <c r="B42" s="32" t="s">
        <v>48</v>
      </c>
      <c r="C42" s="33">
        <v>6615</v>
      </c>
      <c r="D42" s="59">
        <v>13.029276</v>
      </c>
      <c r="E42" s="33">
        <v>2400</v>
      </c>
      <c r="F42" s="33">
        <v>3.58685</v>
      </c>
      <c r="G42" s="40">
        <v>16.616126</v>
      </c>
      <c r="I42" s="61">
        <f t="shared" si="0"/>
        <v>6615</v>
      </c>
      <c r="J42" s="61">
        <f t="shared" si="1"/>
        <v>13.03</v>
      </c>
      <c r="K42" s="61">
        <f t="shared" si="2"/>
        <v>2400</v>
      </c>
      <c r="L42" s="61">
        <f t="shared" si="3"/>
        <v>3.59</v>
      </c>
      <c r="M42" s="61">
        <f t="shared" si="4"/>
        <v>16.62</v>
      </c>
      <c r="O42">
        <f t="shared" si="7"/>
        <v>0</v>
      </c>
    </row>
    <row r="43" ht="45" customHeight="true" spans="1:15">
      <c r="A43" s="34">
        <v>39</v>
      </c>
      <c r="B43" s="32" t="s">
        <v>49</v>
      </c>
      <c r="C43" s="33">
        <f>0</f>
        <v>0</v>
      </c>
      <c r="D43" s="59">
        <f>0</f>
        <v>0</v>
      </c>
      <c r="E43" s="33">
        <f>0</f>
        <v>0</v>
      </c>
      <c r="F43" s="33">
        <f>0</f>
        <v>0</v>
      </c>
      <c r="G43" s="40">
        <v>0</v>
      </c>
      <c r="I43" s="61">
        <f t="shared" si="0"/>
        <v>0</v>
      </c>
      <c r="J43" s="61">
        <f t="shared" si="1"/>
        <v>0</v>
      </c>
      <c r="K43" s="61">
        <f t="shared" si="2"/>
        <v>0</v>
      </c>
      <c r="L43" s="61">
        <f t="shared" si="3"/>
        <v>0</v>
      </c>
      <c r="M43" s="61">
        <f t="shared" si="4"/>
        <v>0</v>
      </c>
      <c r="O43">
        <f t="shared" si="7"/>
        <v>0</v>
      </c>
    </row>
    <row r="44" ht="54.95" customHeight="true" spans="1:15">
      <c r="A44" s="34">
        <v>40</v>
      </c>
      <c r="B44" s="32" t="s">
        <v>50</v>
      </c>
      <c r="C44" s="33">
        <v>8160</v>
      </c>
      <c r="D44" s="59">
        <v>16.16915</v>
      </c>
      <c r="E44" s="33">
        <f>0</f>
        <v>0</v>
      </c>
      <c r="F44" s="33">
        <f>0</f>
        <v>0</v>
      </c>
      <c r="G44" s="40">
        <v>16.16915</v>
      </c>
      <c r="I44" s="61">
        <f t="shared" si="0"/>
        <v>8160</v>
      </c>
      <c r="J44" s="61">
        <f t="shared" si="1"/>
        <v>16.17</v>
      </c>
      <c r="K44" s="61">
        <f t="shared" si="2"/>
        <v>0</v>
      </c>
      <c r="L44" s="61">
        <f t="shared" si="3"/>
        <v>0</v>
      </c>
      <c r="M44" s="61">
        <f t="shared" si="4"/>
        <v>16.17</v>
      </c>
      <c r="O44">
        <f t="shared" si="7"/>
        <v>0</v>
      </c>
    </row>
    <row r="45" ht="45" customHeight="true" spans="1:15">
      <c r="A45" s="34">
        <v>41</v>
      </c>
      <c r="B45" s="32" t="s">
        <v>51</v>
      </c>
      <c r="C45" s="33">
        <v>4947.969252</v>
      </c>
      <c r="D45" s="59">
        <v>9.337207</v>
      </c>
      <c r="E45" s="33">
        <v>889</v>
      </c>
      <c r="F45" s="33">
        <v>1.329846</v>
      </c>
      <c r="G45" s="40">
        <v>10.667053</v>
      </c>
      <c r="I45" s="61">
        <f t="shared" si="0"/>
        <v>4947.97</v>
      </c>
      <c r="J45" s="61">
        <f t="shared" si="1"/>
        <v>9.34</v>
      </c>
      <c r="K45" s="61">
        <f t="shared" si="2"/>
        <v>889</v>
      </c>
      <c r="L45" s="61">
        <f t="shared" si="3"/>
        <v>1.33</v>
      </c>
      <c r="M45" s="61">
        <f t="shared" si="4"/>
        <v>10.67</v>
      </c>
      <c r="O45">
        <f t="shared" si="7"/>
        <v>0</v>
      </c>
    </row>
    <row r="46" ht="45" customHeight="true" spans="1:15">
      <c r="A46" s="34">
        <v>42</v>
      </c>
      <c r="B46" s="32" t="s">
        <v>52</v>
      </c>
      <c r="C46" s="33">
        <v>4608</v>
      </c>
      <c r="D46" s="59">
        <v>9.208329</v>
      </c>
      <c r="E46" s="33">
        <v>1899</v>
      </c>
      <c r="F46" s="33">
        <v>2.840696</v>
      </c>
      <c r="G46" s="40">
        <v>12.049025</v>
      </c>
      <c r="I46" s="61">
        <f t="shared" si="0"/>
        <v>4608</v>
      </c>
      <c r="J46" s="61">
        <f t="shared" si="1"/>
        <v>9.21</v>
      </c>
      <c r="K46" s="61">
        <f t="shared" si="2"/>
        <v>1899</v>
      </c>
      <c r="L46" s="61">
        <f t="shared" si="3"/>
        <v>2.84</v>
      </c>
      <c r="M46" s="61">
        <f t="shared" si="4"/>
        <v>12.05</v>
      </c>
      <c r="O46">
        <f t="shared" si="7"/>
        <v>0</v>
      </c>
    </row>
    <row r="47" ht="45" customHeight="true" spans="1:15">
      <c r="A47" s="34">
        <v>43</v>
      </c>
      <c r="B47" s="32" t="s">
        <v>53</v>
      </c>
      <c r="C47" s="33">
        <v>300</v>
      </c>
      <c r="D47" s="59">
        <v>0.6</v>
      </c>
      <c r="E47" s="33">
        <v>2900</v>
      </c>
      <c r="F47" s="33">
        <v>4.346302</v>
      </c>
      <c r="G47" s="40">
        <v>4.946302</v>
      </c>
      <c r="I47" s="61">
        <f t="shared" si="0"/>
        <v>300</v>
      </c>
      <c r="J47" s="61">
        <f t="shared" si="1"/>
        <v>0.6</v>
      </c>
      <c r="K47" s="61">
        <f t="shared" si="2"/>
        <v>2900</v>
      </c>
      <c r="L47" s="61">
        <f t="shared" si="3"/>
        <v>4.35</v>
      </c>
      <c r="M47" s="61">
        <f t="shared" si="4"/>
        <v>4.95</v>
      </c>
      <c r="O47">
        <f t="shared" si="7"/>
        <v>0</v>
      </c>
    </row>
    <row r="48" ht="45" customHeight="true" spans="1:15">
      <c r="A48" s="34">
        <v>44</v>
      </c>
      <c r="B48" s="32" t="s">
        <v>54</v>
      </c>
      <c r="C48" s="33">
        <v>13385</v>
      </c>
      <c r="D48" s="59">
        <v>26.587475</v>
      </c>
      <c r="E48" s="33">
        <v>3500</v>
      </c>
      <c r="F48" s="33">
        <v>5.242604</v>
      </c>
      <c r="G48" s="40">
        <v>31.830079</v>
      </c>
      <c r="I48" s="61">
        <f t="shared" si="0"/>
        <v>13385</v>
      </c>
      <c r="J48" s="61">
        <f t="shared" si="1"/>
        <v>26.59</v>
      </c>
      <c r="K48" s="61">
        <f t="shared" si="2"/>
        <v>3500</v>
      </c>
      <c r="L48" s="61">
        <f t="shared" si="3"/>
        <v>5.24</v>
      </c>
      <c r="M48" s="61">
        <f t="shared" si="4"/>
        <v>31.83</v>
      </c>
      <c r="O48">
        <f t="shared" si="7"/>
        <v>0</v>
      </c>
    </row>
    <row r="49" ht="45" customHeight="true" spans="1:15">
      <c r="A49" s="34">
        <v>45</v>
      </c>
      <c r="B49" s="32" t="s">
        <v>55</v>
      </c>
      <c r="C49" s="33">
        <v>2480</v>
      </c>
      <c r="D49" s="59">
        <v>5.195288</v>
      </c>
      <c r="E49" s="33">
        <v>2250</v>
      </c>
      <c r="F49" s="33">
        <v>3.233837</v>
      </c>
      <c r="G49" s="40">
        <v>8.429125</v>
      </c>
      <c r="I49" s="61">
        <f t="shared" si="0"/>
        <v>2480</v>
      </c>
      <c r="J49" s="61">
        <f t="shared" si="1"/>
        <v>5.2</v>
      </c>
      <c r="K49" s="61">
        <f t="shared" si="2"/>
        <v>2250</v>
      </c>
      <c r="L49" s="61">
        <f t="shared" si="3"/>
        <v>3.23</v>
      </c>
      <c r="M49" s="61">
        <f t="shared" si="4"/>
        <v>8.43</v>
      </c>
      <c r="O49">
        <f t="shared" si="7"/>
        <v>0</v>
      </c>
    </row>
    <row r="50" ht="45" customHeight="true" spans="1:15">
      <c r="A50" s="34">
        <v>46</v>
      </c>
      <c r="B50" s="32" t="s">
        <v>56</v>
      </c>
      <c r="C50" s="33">
        <v>5578</v>
      </c>
      <c r="D50" s="59">
        <v>11.122301</v>
      </c>
      <c r="E50" s="33">
        <f>0</f>
        <v>0</v>
      </c>
      <c r="F50" s="33">
        <f>0</f>
        <v>0</v>
      </c>
      <c r="G50" s="40">
        <v>11.122301</v>
      </c>
      <c r="I50" s="61">
        <f t="shared" si="0"/>
        <v>5578</v>
      </c>
      <c r="J50" s="61">
        <f t="shared" si="1"/>
        <v>11.12</v>
      </c>
      <c r="K50" s="61">
        <f t="shared" si="2"/>
        <v>0</v>
      </c>
      <c r="L50" s="61">
        <f t="shared" si="3"/>
        <v>0</v>
      </c>
      <c r="M50" s="61">
        <f t="shared" si="4"/>
        <v>11.12</v>
      </c>
      <c r="O50">
        <f t="shared" si="7"/>
        <v>0</v>
      </c>
    </row>
    <row r="51" ht="45" customHeight="true" spans="1:15">
      <c r="A51" s="34">
        <v>47</v>
      </c>
      <c r="B51" s="32" t="s">
        <v>57</v>
      </c>
      <c r="C51" s="33">
        <f t="shared" ref="C51:F53" si="8">0</f>
        <v>0</v>
      </c>
      <c r="D51" s="59">
        <f t="shared" si="8"/>
        <v>0</v>
      </c>
      <c r="E51" s="33">
        <f t="shared" si="8"/>
        <v>0</v>
      </c>
      <c r="F51" s="33">
        <f t="shared" si="8"/>
        <v>0</v>
      </c>
      <c r="G51" s="40">
        <v>0</v>
      </c>
      <c r="I51" s="61">
        <f t="shared" si="0"/>
        <v>0</v>
      </c>
      <c r="J51" s="61">
        <f t="shared" si="1"/>
        <v>0</v>
      </c>
      <c r="K51" s="61">
        <f t="shared" si="2"/>
        <v>0</v>
      </c>
      <c r="L51" s="61">
        <f t="shared" si="3"/>
        <v>0</v>
      </c>
      <c r="M51" s="61">
        <f t="shared" si="4"/>
        <v>0</v>
      </c>
      <c r="O51">
        <f t="shared" si="7"/>
        <v>0</v>
      </c>
    </row>
    <row r="52" ht="45" customHeight="true" spans="1:15">
      <c r="A52" s="34">
        <v>48</v>
      </c>
      <c r="B52" s="32" t="s">
        <v>58</v>
      </c>
      <c r="C52" s="33">
        <f t="shared" si="8"/>
        <v>0</v>
      </c>
      <c r="D52" s="59">
        <f t="shared" si="8"/>
        <v>0</v>
      </c>
      <c r="E52" s="33">
        <f t="shared" si="8"/>
        <v>0</v>
      </c>
      <c r="F52" s="33">
        <f t="shared" si="8"/>
        <v>0</v>
      </c>
      <c r="G52" s="40">
        <v>0</v>
      </c>
      <c r="I52" s="61">
        <f t="shared" si="0"/>
        <v>0</v>
      </c>
      <c r="J52" s="61">
        <f t="shared" si="1"/>
        <v>0</v>
      </c>
      <c r="K52" s="61">
        <f t="shared" si="2"/>
        <v>0</v>
      </c>
      <c r="L52" s="61">
        <f t="shared" si="3"/>
        <v>0</v>
      </c>
      <c r="M52" s="61">
        <f t="shared" si="4"/>
        <v>0</v>
      </c>
      <c r="O52">
        <f t="shared" si="7"/>
        <v>0</v>
      </c>
    </row>
    <row r="53" ht="45" customHeight="true" spans="1:15">
      <c r="A53" s="34">
        <v>49</v>
      </c>
      <c r="B53" s="32" t="s">
        <v>59</v>
      </c>
      <c r="C53" s="33">
        <f t="shared" si="8"/>
        <v>0</v>
      </c>
      <c r="D53" s="59">
        <f t="shared" si="8"/>
        <v>0</v>
      </c>
      <c r="E53" s="33">
        <f t="shared" si="8"/>
        <v>0</v>
      </c>
      <c r="F53" s="33">
        <f t="shared" si="8"/>
        <v>0</v>
      </c>
      <c r="G53" s="40">
        <v>0</v>
      </c>
      <c r="I53" s="61">
        <f t="shared" si="0"/>
        <v>0</v>
      </c>
      <c r="J53" s="61">
        <f t="shared" si="1"/>
        <v>0</v>
      </c>
      <c r="K53" s="61">
        <f t="shared" si="2"/>
        <v>0</v>
      </c>
      <c r="L53" s="61">
        <f t="shared" si="3"/>
        <v>0</v>
      </c>
      <c r="M53" s="61">
        <f t="shared" si="4"/>
        <v>0</v>
      </c>
      <c r="O53">
        <f t="shared" si="7"/>
        <v>0</v>
      </c>
    </row>
    <row r="54" ht="45" customHeight="true" spans="1:15">
      <c r="A54" s="34">
        <v>50</v>
      </c>
      <c r="B54" s="32" t="s">
        <v>60</v>
      </c>
      <c r="C54" s="33">
        <v>7187.3232</v>
      </c>
      <c r="D54" s="59">
        <v>14.033001</v>
      </c>
      <c r="E54" s="33">
        <v>6725</v>
      </c>
      <c r="F54" s="33">
        <v>10.002227</v>
      </c>
      <c r="G54" s="40">
        <v>24.035228</v>
      </c>
      <c r="I54" s="61">
        <f t="shared" si="0"/>
        <v>7187.32</v>
      </c>
      <c r="J54" s="61">
        <f t="shared" si="1"/>
        <v>14.03</v>
      </c>
      <c r="K54" s="61">
        <f t="shared" si="2"/>
        <v>6725</v>
      </c>
      <c r="L54" s="61">
        <f t="shared" si="3"/>
        <v>10</v>
      </c>
      <c r="M54" s="61">
        <f t="shared" si="4"/>
        <v>24.04</v>
      </c>
      <c r="O54">
        <f t="shared" si="7"/>
        <v>-0.00999999999999801</v>
      </c>
    </row>
    <row r="55" ht="45" customHeight="true" spans="1:15">
      <c r="A55" s="34">
        <v>51</v>
      </c>
      <c r="B55" s="32" t="s">
        <v>61</v>
      </c>
      <c r="C55" s="33">
        <v>5320</v>
      </c>
      <c r="D55" s="59">
        <v>10.636219</v>
      </c>
      <c r="E55" s="33">
        <v>1000</v>
      </c>
      <c r="F55" s="33">
        <v>1.5</v>
      </c>
      <c r="G55" s="40">
        <v>12.136219</v>
      </c>
      <c r="I55" s="61">
        <f t="shared" si="0"/>
        <v>5320</v>
      </c>
      <c r="J55" s="61">
        <f t="shared" si="1"/>
        <v>10.64</v>
      </c>
      <c r="K55" s="61">
        <f t="shared" si="2"/>
        <v>1000</v>
      </c>
      <c r="L55" s="61">
        <f t="shared" si="3"/>
        <v>1.5</v>
      </c>
      <c r="M55" s="61">
        <f t="shared" si="4"/>
        <v>12.14</v>
      </c>
      <c r="O55">
        <f t="shared" si="7"/>
        <v>0</v>
      </c>
    </row>
    <row r="56" ht="45" customHeight="true" spans="1:15">
      <c r="A56" s="34">
        <v>52</v>
      </c>
      <c r="B56" s="32" t="s">
        <v>62</v>
      </c>
      <c r="C56" s="33">
        <v>1800</v>
      </c>
      <c r="D56" s="59">
        <v>3.547397</v>
      </c>
      <c r="E56" s="33">
        <f>0</f>
        <v>0</v>
      </c>
      <c r="F56" s="33">
        <f>0</f>
        <v>0</v>
      </c>
      <c r="G56" s="40">
        <v>3.547397</v>
      </c>
      <c r="I56" s="61">
        <f t="shared" si="0"/>
        <v>1800</v>
      </c>
      <c r="J56" s="61">
        <f t="shared" si="1"/>
        <v>3.55</v>
      </c>
      <c r="K56" s="61">
        <f t="shared" si="2"/>
        <v>0</v>
      </c>
      <c r="L56" s="61">
        <f t="shared" si="3"/>
        <v>0</v>
      </c>
      <c r="M56" s="61">
        <f t="shared" si="4"/>
        <v>3.55</v>
      </c>
      <c r="O56">
        <f t="shared" si="7"/>
        <v>0</v>
      </c>
    </row>
    <row r="57" ht="45" customHeight="true" spans="1:15">
      <c r="A57" s="34">
        <v>53</v>
      </c>
      <c r="B57" s="32" t="s">
        <v>63</v>
      </c>
      <c r="C57" s="33">
        <v>1540</v>
      </c>
      <c r="D57" s="59">
        <v>3.07452</v>
      </c>
      <c r="E57" s="33">
        <f>0</f>
        <v>0</v>
      </c>
      <c r="F57" s="33">
        <f>0</f>
        <v>0</v>
      </c>
      <c r="G57" s="40">
        <v>3.07452</v>
      </c>
      <c r="I57" s="61">
        <f t="shared" si="0"/>
        <v>1540</v>
      </c>
      <c r="J57" s="61">
        <f t="shared" si="1"/>
        <v>3.07</v>
      </c>
      <c r="K57" s="61">
        <f t="shared" si="2"/>
        <v>0</v>
      </c>
      <c r="L57" s="61">
        <f t="shared" si="3"/>
        <v>0</v>
      </c>
      <c r="M57" s="61">
        <f t="shared" si="4"/>
        <v>3.07</v>
      </c>
      <c r="O57">
        <f t="shared" si="7"/>
        <v>0</v>
      </c>
    </row>
    <row r="58" ht="45" customHeight="true" spans="1:15">
      <c r="A58" s="34">
        <v>54</v>
      </c>
      <c r="B58" s="32" t="s">
        <v>64</v>
      </c>
      <c r="C58" s="33">
        <v>6570</v>
      </c>
      <c r="D58" s="59">
        <v>12.941205</v>
      </c>
      <c r="E58" s="33">
        <v>5530</v>
      </c>
      <c r="F58" s="33">
        <v>8.284727</v>
      </c>
      <c r="G58" s="40">
        <v>21.225932</v>
      </c>
      <c r="I58" s="61">
        <f t="shared" si="0"/>
        <v>6570</v>
      </c>
      <c r="J58" s="61">
        <f t="shared" si="1"/>
        <v>12.94</v>
      </c>
      <c r="K58" s="61">
        <f t="shared" si="2"/>
        <v>5530</v>
      </c>
      <c r="L58" s="61">
        <f t="shared" si="3"/>
        <v>8.28</v>
      </c>
      <c r="M58" s="61">
        <f t="shared" si="4"/>
        <v>21.23</v>
      </c>
      <c r="O58">
        <f t="shared" si="7"/>
        <v>-0.0100000000000016</v>
      </c>
    </row>
    <row r="59" ht="45" customHeight="true" spans="1:15">
      <c r="A59" s="34">
        <v>55</v>
      </c>
      <c r="B59" s="32" t="s">
        <v>65</v>
      </c>
      <c r="C59" s="33">
        <f>0</f>
        <v>0</v>
      </c>
      <c r="D59" s="59">
        <f>0</f>
        <v>0</v>
      </c>
      <c r="E59" s="33">
        <f t="shared" ref="E59:F61" si="9">0</f>
        <v>0</v>
      </c>
      <c r="F59" s="33">
        <f t="shared" si="9"/>
        <v>0</v>
      </c>
      <c r="G59" s="40">
        <v>0</v>
      </c>
      <c r="I59" s="61">
        <f t="shared" si="0"/>
        <v>0</v>
      </c>
      <c r="J59" s="61">
        <f t="shared" si="1"/>
        <v>0</v>
      </c>
      <c r="K59" s="61">
        <f t="shared" si="2"/>
        <v>0</v>
      </c>
      <c r="L59" s="61">
        <f t="shared" si="3"/>
        <v>0</v>
      </c>
      <c r="M59" s="61">
        <f t="shared" si="4"/>
        <v>0</v>
      </c>
      <c r="O59">
        <f t="shared" si="7"/>
        <v>0</v>
      </c>
    </row>
    <row r="60" ht="45" customHeight="true" spans="1:15">
      <c r="A60" s="34">
        <v>56</v>
      </c>
      <c r="B60" s="32" t="s">
        <v>66</v>
      </c>
      <c r="C60" s="33">
        <v>500</v>
      </c>
      <c r="D60" s="59">
        <v>1</v>
      </c>
      <c r="E60" s="33">
        <f t="shared" si="9"/>
        <v>0</v>
      </c>
      <c r="F60" s="33">
        <f t="shared" si="9"/>
        <v>0</v>
      </c>
      <c r="G60" s="40">
        <v>1</v>
      </c>
      <c r="I60" s="61">
        <f t="shared" si="0"/>
        <v>500</v>
      </c>
      <c r="J60" s="61">
        <f t="shared" si="1"/>
        <v>1</v>
      </c>
      <c r="K60" s="61">
        <f t="shared" si="2"/>
        <v>0</v>
      </c>
      <c r="L60" s="61">
        <f t="shared" si="3"/>
        <v>0</v>
      </c>
      <c r="M60" s="61">
        <f t="shared" si="4"/>
        <v>1</v>
      </c>
      <c r="O60">
        <f t="shared" si="7"/>
        <v>0</v>
      </c>
    </row>
    <row r="61" ht="45" customHeight="true" spans="1:15">
      <c r="A61" s="34">
        <v>57</v>
      </c>
      <c r="B61" s="32" t="s">
        <v>67</v>
      </c>
      <c r="C61" s="33">
        <v>4615</v>
      </c>
      <c r="D61" s="59">
        <v>9.172246</v>
      </c>
      <c r="E61" s="33">
        <f t="shared" si="9"/>
        <v>0</v>
      </c>
      <c r="F61" s="33">
        <f t="shared" si="9"/>
        <v>0</v>
      </c>
      <c r="G61" s="40">
        <v>9.172246</v>
      </c>
      <c r="I61" s="61">
        <f t="shared" si="0"/>
        <v>4615</v>
      </c>
      <c r="J61" s="61">
        <f t="shared" si="1"/>
        <v>9.17</v>
      </c>
      <c r="K61" s="61">
        <f t="shared" si="2"/>
        <v>0</v>
      </c>
      <c r="L61" s="61">
        <f t="shared" si="3"/>
        <v>0</v>
      </c>
      <c r="M61" s="61">
        <f t="shared" si="4"/>
        <v>9.17</v>
      </c>
      <c r="O61">
        <f t="shared" si="7"/>
        <v>0</v>
      </c>
    </row>
    <row r="62" ht="42.95" customHeight="true" spans="1:15">
      <c r="A62" s="48" t="s">
        <v>68</v>
      </c>
      <c r="B62" s="49"/>
      <c r="C62" s="40">
        <f t="shared" ref="C62:G62" si="10">SUM(C5:C61)</f>
        <v>597779.396831</v>
      </c>
      <c r="D62" s="60">
        <f t="shared" si="10"/>
        <v>1150.705055</v>
      </c>
      <c r="E62" s="40">
        <f t="shared" si="10"/>
        <v>211473.9566</v>
      </c>
      <c r="F62" s="40">
        <f t="shared" si="10"/>
        <v>309.758694</v>
      </c>
      <c r="G62" s="40">
        <f t="shared" si="10"/>
        <v>1460.463749</v>
      </c>
      <c r="I62" s="62">
        <f t="shared" si="0"/>
        <v>597779.4</v>
      </c>
      <c r="J62" s="62">
        <f t="shared" si="1"/>
        <v>1150.71</v>
      </c>
      <c r="K62" s="62">
        <f t="shared" si="2"/>
        <v>211473.96</v>
      </c>
      <c r="L62" s="62">
        <f t="shared" si="3"/>
        <v>309.76</v>
      </c>
      <c r="M62" s="62">
        <f t="shared" si="4"/>
        <v>1460.46</v>
      </c>
      <c r="O62">
        <f t="shared" si="7"/>
        <v>0.00999999999999091</v>
      </c>
    </row>
  </sheetData>
  <autoFilter ref="A4:G63">
    <extLst/>
  </autoFilter>
  <mergeCells count="6">
    <mergeCell ref="A2:G2"/>
    <mergeCell ref="C3:F3"/>
    <mergeCell ref="A62:B62"/>
    <mergeCell ref="A3:A4"/>
    <mergeCell ref="B3:B4"/>
    <mergeCell ref="G3:G4"/>
  </mergeCells>
  <pageMargins left="0.354166666666667" right="0.236111111111111" top="0.472222222222222" bottom="0.196527777777778" header="0.511805555555556" footer="0.511805555555556"/>
  <pageSetup paperSize="9" scale="4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E2" sqref="E2:E35"/>
      <pivotSelection pane="bottomRight" showHeader="1" extendable="1" axis="axisRow" activeRow="26" activeCol="4" previousRow="26" previousCol="4" click="1" r:id="rId2">
        <pivotArea dataOnly="0" labelOnly="1" fieldPosition="0">
          <references count="1">
            <reference field="3" count="0"/>
          </references>
        </pivotArea>
      </pivotSelection>
    </sheetView>
  </sheetViews>
  <sheetFormatPr defaultColWidth="9" defaultRowHeight="13.5" outlineLevelCol="6"/>
  <cols>
    <col min="1" max="1" width="35.8833333333333"/>
    <col min="2" max="2" width="28.625"/>
    <col min="3" max="3" width="30.8833333333333" customWidth="true"/>
    <col min="5" max="5" width="35.8833333333333"/>
    <col min="6" max="6" width="28.625"/>
    <col min="7" max="7" width="30.8833333333333" customWidth="true"/>
  </cols>
  <sheetData>
    <row r="1" spans="1:7">
      <c r="A1" t="s">
        <v>74</v>
      </c>
      <c r="B1" t="s">
        <v>70</v>
      </c>
      <c r="C1" t="s">
        <v>71</v>
      </c>
      <c r="E1" t="s">
        <v>74</v>
      </c>
      <c r="F1" t="s">
        <v>70</v>
      </c>
      <c r="G1" t="s">
        <v>71</v>
      </c>
    </row>
    <row r="2" spans="1:7">
      <c r="A2" t="s">
        <v>10</v>
      </c>
      <c r="B2">
        <v>25139</v>
      </c>
      <c r="C2">
        <v>483978.87</v>
      </c>
      <c r="E2" t="s">
        <v>10</v>
      </c>
      <c r="F2">
        <v>8450</v>
      </c>
      <c r="G2">
        <v>115378.79</v>
      </c>
    </row>
    <row r="3" spans="1:7">
      <c r="A3" t="s">
        <v>9</v>
      </c>
      <c r="B3">
        <v>2105</v>
      </c>
      <c r="C3">
        <v>26042.47</v>
      </c>
      <c r="E3" t="s">
        <v>9</v>
      </c>
      <c r="F3">
        <v>1000</v>
      </c>
      <c r="G3">
        <v>2506.85</v>
      </c>
    </row>
    <row r="4" spans="1:7">
      <c r="A4" t="s">
        <v>54</v>
      </c>
      <c r="B4">
        <v>6110</v>
      </c>
      <c r="C4">
        <v>116830.68</v>
      </c>
      <c r="E4" t="s">
        <v>54</v>
      </c>
      <c r="F4">
        <v>700</v>
      </c>
      <c r="G4">
        <v>5178.08</v>
      </c>
    </row>
    <row r="5" spans="1:7">
      <c r="A5" t="s">
        <v>32</v>
      </c>
      <c r="B5">
        <v>1160</v>
      </c>
      <c r="C5">
        <v>17676.71</v>
      </c>
      <c r="E5" t="s">
        <v>32</v>
      </c>
      <c r="F5">
        <v>650</v>
      </c>
      <c r="G5">
        <v>8921.92</v>
      </c>
    </row>
    <row r="6" spans="1:7">
      <c r="A6" t="s">
        <v>56</v>
      </c>
      <c r="B6">
        <v>4545</v>
      </c>
      <c r="C6">
        <v>90752.05</v>
      </c>
      <c r="E6" t="s">
        <v>36</v>
      </c>
      <c r="F6">
        <v>9570</v>
      </c>
      <c r="G6">
        <v>135825.22</v>
      </c>
    </row>
    <row r="7" spans="1:7">
      <c r="A7" t="s">
        <v>36</v>
      </c>
      <c r="B7">
        <v>12048</v>
      </c>
      <c r="C7">
        <v>233831.78</v>
      </c>
      <c r="E7" t="s">
        <v>25</v>
      </c>
      <c r="F7">
        <v>4450</v>
      </c>
      <c r="G7">
        <v>66634.95</v>
      </c>
    </row>
    <row r="8" spans="1:7">
      <c r="A8" t="s">
        <v>30</v>
      </c>
      <c r="B8">
        <v>19580.08</v>
      </c>
      <c r="C8">
        <v>334225.1</v>
      </c>
      <c r="E8" t="s">
        <v>27</v>
      </c>
      <c r="F8">
        <v>2499.9566</v>
      </c>
      <c r="G8">
        <v>33250.04</v>
      </c>
    </row>
    <row r="9" spans="1:7">
      <c r="A9" t="s">
        <v>25</v>
      </c>
      <c r="B9">
        <v>8518.1</v>
      </c>
      <c r="C9">
        <v>165046.4</v>
      </c>
      <c r="E9" t="s">
        <v>38</v>
      </c>
      <c r="F9">
        <v>2300</v>
      </c>
      <c r="G9">
        <v>34500</v>
      </c>
    </row>
    <row r="10" spans="1:7">
      <c r="A10" t="s">
        <v>27</v>
      </c>
      <c r="B10">
        <v>8510</v>
      </c>
      <c r="C10">
        <v>156141.92</v>
      </c>
      <c r="E10" t="s">
        <v>53</v>
      </c>
      <c r="F10">
        <v>820</v>
      </c>
      <c r="G10">
        <v>3066.57</v>
      </c>
    </row>
    <row r="11" spans="1:7">
      <c r="A11" t="s">
        <v>38</v>
      </c>
      <c r="B11">
        <v>3733.9</v>
      </c>
      <c r="C11">
        <v>71478.87</v>
      </c>
      <c r="E11" t="s">
        <v>8</v>
      </c>
      <c r="F11">
        <v>9350</v>
      </c>
      <c r="G11">
        <v>133265.77</v>
      </c>
    </row>
    <row r="12" spans="1:7">
      <c r="A12" t="s">
        <v>75</v>
      </c>
      <c r="B12">
        <v>500</v>
      </c>
      <c r="C12">
        <v>9589.04</v>
      </c>
      <c r="E12" t="s">
        <v>76</v>
      </c>
      <c r="F12">
        <v>800</v>
      </c>
      <c r="G12">
        <v>11967.13</v>
      </c>
    </row>
    <row r="13" spans="1:7">
      <c r="A13" t="s">
        <v>53</v>
      </c>
      <c r="B13">
        <v>420</v>
      </c>
      <c r="C13">
        <v>8376.99</v>
      </c>
      <c r="E13" t="s">
        <v>47</v>
      </c>
      <c r="F13">
        <v>3580</v>
      </c>
      <c r="G13">
        <v>46179.45</v>
      </c>
    </row>
    <row r="14" spans="1:7">
      <c r="A14" t="s">
        <v>57</v>
      </c>
      <c r="B14">
        <v>1000</v>
      </c>
      <c r="C14">
        <v>19616.43</v>
      </c>
      <c r="E14" t="s">
        <v>51</v>
      </c>
      <c r="F14">
        <v>990</v>
      </c>
      <c r="G14">
        <v>14199.04</v>
      </c>
    </row>
    <row r="15" spans="1:7">
      <c r="A15" t="s">
        <v>31</v>
      </c>
      <c r="B15">
        <v>285</v>
      </c>
      <c r="C15">
        <v>5700</v>
      </c>
      <c r="E15" t="s">
        <v>41</v>
      </c>
      <c r="F15">
        <v>1810</v>
      </c>
      <c r="G15">
        <v>27032.87</v>
      </c>
    </row>
    <row r="16" spans="1:7">
      <c r="A16" t="s">
        <v>8</v>
      </c>
      <c r="B16">
        <v>73176.6387</v>
      </c>
      <c r="C16">
        <v>1419431.03</v>
      </c>
      <c r="E16" t="s">
        <v>52</v>
      </c>
      <c r="F16">
        <v>1700</v>
      </c>
      <c r="G16">
        <v>14239.72</v>
      </c>
    </row>
    <row r="17" spans="1:7">
      <c r="A17" t="s">
        <v>76</v>
      </c>
      <c r="B17">
        <v>3359</v>
      </c>
      <c r="C17">
        <v>60957.26</v>
      </c>
      <c r="E17" t="s">
        <v>15</v>
      </c>
      <c r="F17">
        <v>3135</v>
      </c>
      <c r="G17">
        <v>46884.25</v>
      </c>
    </row>
    <row r="18" spans="1:7">
      <c r="A18" t="s">
        <v>47</v>
      </c>
      <c r="B18">
        <v>7947.591101</v>
      </c>
      <c r="C18">
        <v>135018.79</v>
      </c>
      <c r="E18" t="s">
        <v>50</v>
      </c>
      <c r="F18">
        <v>1000</v>
      </c>
      <c r="G18">
        <v>15000</v>
      </c>
    </row>
    <row r="19" spans="1:7">
      <c r="A19" t="s">
        <v>51</v>
      </c>
      <c r="B19">
        <v>2180</v>
      </c>
      <c r="C19">
        <v>43529.3</v>
      </c>
      <c r="E19" t="s">
        <v>19</v>
      </c>
      <c r="F19">
        <v>11853</v>
      </c>
      <c r="G19">
        <v>173561.29</v>
      </c>
    </row>
    <row r="20" spans="1:7">
      <c r="A20" t="s">
        <v>60</v>
      </c>
      <c r="B20">
        <v>15298.57874</v>
      </c>
      <c r="C20">
        <v>305888.01</v>
      </c>
      <c r="E20" t="s">
        <v>18</v>
      </c>
      <c r="F20">
        <v>8800</v>
      </c>
      <c r="G20">
        <v>131794.54</v>
      </c>
    </row>
    <row r="21" spans="1:7">
      <c r="A21" t="s">
        <v>63</v>
      </c>
      <c r="B21">
        <v>500</v>
      </c>
      <c r="C21">
        <v>9972.6</v>
      </c>
      <c r="E21" t="s">
        <v>39</v>
      </c>
      <c r="F21">
        <v>800</v>
      </c>
      <c r="G21">
        <v>9994.52</v>
      </c>
    </row>
    <row r="22" spans="1:7">
      <c r="A22" t="s">
        <v>61</v>
      </c>
      <c r="B22">
        <v>1850</v>
      </c>
      <c r="C22">
        <v>31921.64</v>
      </c>
      <c r="E22" t="s">
        <v>44</v>
      </c>
      <c r="F22">
        <v>1980</v>
      </c>
      <c r="G22">
        <v>29700</v>
      </c>
    </row>
    <row r="23" spans="1:7">
      <c r="A23" t="s">
        <v>41</v>
      </c>
      <c r="B23">
        <v>920</v>
      </c>
      <c r="C23">
        <v>18400</v>
      </c>
      <c r="E23" t="s">
        <v>14</v>
      </c>
      <c r="F23">
        <v>2720</v>
      </c>
      <c r="G23">
        <v>40647.12</v>
      </c>
    </row>
    <row r="24" spans="1:7">
      <c r="A24" t="s">
        <v>28</v>
      </c>
      <c r="B24">
        <v>14557.98</v>
      </c>
      <c r="C24">
        <v>280670.58</v>
      </c>
      <c r="E24" t="s">
        <v>17</v>
      </c>
      <c r="F24">
        <v>5280</v>
      </c>
      <c r="G24">
        <v>79113.7</v>
      </c>
    </row>
    <row r="25" spans="1:7">
      <c r="A25" t="s">
        <v>26</v>
      </c>
      <c r="B25">
        <v>13465.8</v>
      </c>
      <c r="C25">
        <v>227848.43</v>
      </c>
      <c r="E25" t="s">
        <v>16</v>
      </c>
      <c r="F25">
        <v>4670</v>
      </c>
      <c r="G25">
        <v>58429.73</v>
      </c>
    </row>
    <row r="26" spans="1:7">
      <c r="A26" t="s">
        <v>52</v>
      </c>
      <c r="B26">
        <v>3280</v>
      </c>
      <c r="C26">
        <v>65527.12</v>
      </c>
      <c r="E26" t="s">
        <v>12</v>
      </c>
      <c r="F26">
        <v>25720</v>
      </c>
      <c r="G26">
        <v>383778.14</v>
      </c>
    </row>
    <row r="27" spans="1:7">
      <c r="A27" t="s">
        <v>15</v>
      </c>
      <c r="B27">
        <v>38843</v>
      </c>
      <c r="C27">
        <v>759328.51</v>
      </c>
      <c r="E27" t="s">
        <v>37</v>
      </c>
      <c r="F27">
        <v>1000</v>
      </c>
      <c r="G27">
        <v>15000</v>
      </c>
    </row>
    <row r="28" spans="1:7">
      <c r="A28" t="s">
        <v>66</v>
      </c>
      <c r="B28">
        <v>17424</v>
      </c>
      <c r="C28">
        <v>348480</v>
      </c>
      <c r="E28" t="s">
        <v>22</v>
      </c>
      <c r="F28">
        <v>6100</v>
      </c>
      <c r="G28">
        <v>91237.01</v>
      </c>
    </row>
    <row r="29" spans="1:7">
      <c r="A29" t="s">
        <v>50</v>
      </c>
      <c r="B29">
        <v>13892</v>
      </c>
      <c r="C29">
        <v>276037.19</v>
      </c>
      <c r="E29" t="s">
        <v>20</v>
      </c>
      <c r="F29">
        <v>2279.5</v>
      </c>
      <c r="G29">
        <v>33484.49</v>
      </c>
    </row>
    <row r="30" spans="1:7">
      <c r="A30" t="s">
        <v>19</v>
      </c>
      <c r="B30">
        <v>7063</v>
      </c>
      <c r="C30">
        <v>108760.91</v>
      </c>
      <c r="E30" t="s">
        <v>42</v>
      </c>
      <c r="F30">
        <v>8400</v>
      </c>
      <c r="G30">
        <v>125560.31</v>
      </c>
    </row>
    <row r="31" spans="1:7">
      <c r="A31" t="s">
        <v>18</v>
      </c>
      <c r="B31">
        <v>8544</v>
      </c>
      <c r="C31">
        <v>169820.27</v>
      </c>
      <c r="E31" t="s">
        <v>24</v>
      </c>
      <c r="F31">
        <v>1800</v>
      </c>
      <c r="G31">
        <v>26967.13</v>
      </c>
    </row>
    <row r="32" spans="1:7">
      <c r="A32" t="s">
        <v>67</v>
      </c>
      <c r="B32">
        <v>3247.988</v>
      </c>
      <c r="C32">
        <v>64001.24</v>
      </c>
      <c r="E32" t="s">
        <v>55</v>
      </c>
      <c r="F32">
        <v>900</v>
      </c>
      <c r="G32">
        <v>13056.17</v>
      </c>
    </row>
    <row r="33" spans="1:7">
      <c r="A33" t="s">
        <v>62</v>
      </c>
      <c r="B33">
        <v>1120</v>
      </c>
      <c r="C33">
        <v>16611.51</v>
      </c>
      <c r="E33" t="s">
        <v>46</v>
      </c>
      <c r="F33">
        <v>800</v>
      </c>
      <c r="G33">
        <v>11539.72</v>
      </c>
    </row>
    <row r="34" spans="1:5">
      <c r="A34" t="s">
        <v>39</v>
      </c>
      <c r="B34">
        <v>2030</v>
      </c>
      <c r="C34">
        <v>40549.58</v>
      </c>
      <c r="E34" t="s">
        <v>77</v>
      </c>
    </row>
    <row r="35" spans="1:7">
      <c r="A35" t="s">
        <v>44</v>
      </c>
      <c r="B35">
        <v>4388</v>
      </c>
      <c r="C35">
        <v>84636.92</v>
      </c>
      <c r="E35" t="s">
        <v>13</v>
      </c>
      <c r="F35">
        <v>2800</v>
      </c>
      <c r="G35">
        <v>41884.95</v>
      </c>
    </row>
    <row r="36" spans="1:7">
      <c r="A36" t="s">
        <v>14</v>
      </c>
      <c r="B36">
        <v>12300</v>
      </c>
      <c r="C36">
        <v>245062.19</v>
      </c>
      <c r="E36" t="s">
        <v>73</v>
      </c>
      <c r="F36">
        <v>138707.4566</v>
      </c>
      <c r="G36">
        <v>1979779.47</v>
      </c>
    </row>
    <row r="37" spans="1:3">
      <c r="A37" t="s">
        <v>64</v>
      </c>
      <c r="B37">
        <v>4520</v>
      </c>
      <c r="C37">
        <v>81516.17</v>
      </c>
    </row>
    <row r="38" spans="1:3">
      <c r="A38" t="s">
        <v>17</v>
      </c>
      <c r="B38">
        <v>42061</v>
      </c>
      <c r="C38">
        <v>826817.2</v>
      </c>
    </row>
    <row r="39" spans="1:3">
      <c r="A39" t="s">
        <v>16</v>
      </c>
      <c r="B39">
        <v>12803</v>
      </c>
      <c r="C39">
        <v>242873.75</v>
      </c>
    </row>
    <row r="40" spans="1:3">
      <c r="A40" t="s">
        <v>40</v>
      </c>
      <c r="B40">
        <v>2872</v>
      </c>
      <c r="C40">
        <v>52583.88</v>
      </c>
    </row>
    <row r="41" spans="1:3">
      <c r="A41" t="s">
        <v>12</v>
      </c>
      <c r="B41">
        <v>106057.799999</v>
      </c>
      <c r="C41">
        <v>2092753.78</v>
      </c>
    </row>
    <row r="42" spans="1:3">
      <c r="A42" t="s">
        <v>37</v>
      </c>
      <c r="B42">
        <v>4578</v>
      </c>
      <c r="C42">
        <v>90511.78</v>
      </c>
    </row>
    <row r="43" spans="1:3">
      <c r="A43" t="s">
        <v>22</v>
      </c>
      <c r="B43">
        <v>4849.324</v>
      </c>
      <c r="C43">
        <v>96121.44</v>
      </c>
    </row>
    <row r="44" spans="1:3">
      <c r="A44" t="s">
        <v>20</v>
      </c>
      <c r="B44">
        <v>15606.961439</v>
      </c>
      <c r="C44">
        <v>309457.63</v>
      </c>
    </row>
    <row r="45" spans="1:3">
      <c r="A45" t="s">
        <v>42</v>
      </c>
      <c r="B45">
        <v>7660</v>
      </c>
      <c r="C45">
        <v>147868.46</v>
      </c>
    </row>
    <row r="46" spans="1:3">
      <c r="A46" t="s">
        <v>24</v>
      </c>
      <c r="B46">
        <v>4808</v>
      </c>
      <c r="C46">
        <v>95305.29</v>
      </c>
    </row>
    <row r="47" spans="1:3">
      <c r="A47" t="s">
        <v>45</v>
      </c>
      <c r="B47">
        <v>4026</v>
      </c>
      <c r="C47">
        <v>80492.6</v>
      </c>
    </row>
    <row r="48" spans="1:3">
      <c r="A48" t="s">
        <v>55</v>
      </c>
      <c r="B48">
        <v>1380</v>
      </c>
      <c r="C48">
        <v>27465.2</v>
      </c>
    </row>
    <row r="49" spans="1:3">
      <c r="A49" t="s">
        <v>46</v>
      </c>
      <c r="B49">
        <v>300</v>
      </c>
      <c r="C49">
        <v>5950.68</v>
      </c>
    </row>
    <row r="50" spans="1:3">
      <c r="A50" t="s">
        <v>23</v>
      </c>
      <c r="B50">
        <v>3029</v>
      </c>
      <c r="C50">
        <v>57493.96</v>
      </c>
    </row>
    <row r="51" spans="1:3">
      <c r="A51" t="s">
        <v>48</v>
      </c>
      <c r="B51">
        <v>4380</v>
      </c>
      <c r="C51">
        <v>87518.35</v>
      </c>
    </row>
    <row r="52" spans="1:1">
      <c r="A52" t="s">
        <v>77</v>
      </c>
    </row>
    <row r="53" spans="1:3">
      <c r="A53" t="s">
        <v>13</v>
      </c>
      <c r="B53">
        <v>2345</v>
      </c>
      <c r="C53">
        <v>46875.34</v>
      </c>
    </row>
    <row r="54" spans="1:3">
      <c r="A54" t="s">
        <v>73</v>
      </c>
      <c r="B54">
        <v>560317.741979</v>
      </c>
      <c r="C54">
        <v>10793345.9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5"/>
  <sheetViews>
    <sheetView workbookViewId="0">
      <selection activeCell="C20" sqref="C20:C25"/>
    </sheetView>
  </sheetViews>
  <sheetFormatPr defaultColWidth="9" defaultRowHeight="13.5" outlineLevelCol="2"/>
  <cols>
    <col min="1" max="1" width="33.7583333333333" style="55"/>
    <col min="2" max="3" width="28.625" style="55"/>
    <col min="4" max="16384" width="9" style="55"/>
  </cols>
  <sheetData>
    <row r="3" spans="1:3">
      <c r="A3" s="55" t="s">
        <v>74</v>
      </c>
      <c r="B3" s="55" t="s">
        <v>71</v>
      </c>
      <c r="C3" s="55" t="s">
        <v>70</v>
      </c>
    </row>
    <row r="4" spans="1:3">
      <c r="A4" s="55" t="s">
        <v>8</v>
      </c>
      <c r="B4" s="56">
        <v>162528.35</v>
      </c>
      <c r="C4" s="56">
        <v>16275</v>
      </c>
    </row>
    <row r="5" spans="1:3">
      <c r="A5" s="55" t="s">
        <v>14</v>
      </c>
      <c r="B5" s="56">
        <v>49315.06</v>
      </c>
      <c r="C5" s="56">
        <v>6000</v>
      </c>
    </row>
    <row r="6" spans="1:3">
      <c r="A6" s="55" t="s">
        <v>16</v>
      </c>
      <c r="B6" s="56">
        <v>7956.16</v>
      </c>
      <c r="C6" s="56">
        <v>800</v>
      </c>
    </row>
    <row r="7" spans="1:3">
      <c r="A7" s="55" t="s">
        <v>20</v>
      </c>
      <c r="B7" s="56">
        <v>7978.09</v>
      </c>
      <c r="C7" s="56">
        <v>800</v>
      </c>
    </row>
    <row r="8" spans="1:3">
      <c r="A8" s="55" t="s">
        <v>45</v>
      </c>
      <c r="B8" s="56">
        <v>35293.04</v>
      </c>
      <c r="C8" s="56">
        <v>3539</v>
      </c>
    </row>
    <row r="9" spans="1:3">
      <c r="A9" s="55" t="s">
        <v>48</v>
      </c>
      <c r="B9" s="56">
        <v>24852.05</v>
      </c>
      <c r="C9" s="56">
        <v>2500</v>
      </c>
    </row>
    <row r="10" spans="1:3">
      <c r="A10" s="55" t="s">
        <v>73</v>
      </c>
      <c r="B10" s="56">
        <v>287922.75</v>
      </c>
      <c r="C10" s="56">
        <v>29914</v>
      </c>
    </row>
    <row r="20" spans="1:3">
      <c r="A20" s="57" t="s">
        <v>8</v>
      </c>
      <c r="B20" s="57">
        <v>162528.35</v>
      </c>
      <c r="C20" s="55">
        <f t="shared" ref="C20:C25" si="0">ROUND(B20/10000,2)</f>
        <v>16.25</v>
      </c>
    </row>
    <row r="21" spans="1:3">
      <c r="A21" s="57" t="s">
        <v>14</v>
      </c>
      <c r="B21" s="57">
        <v>49315.06</v>
      </c>
      <c r="C21" s="55">
        <f t="shared" si="0"/>
        <v>4.93</v>
      </c>
    </row>
    <row r="22" spans="1:3">
      <c r="A22" s="57" t="s">
        <v>16</v>
      </c>
      <c r="B22" s="57">
        <v>7956.16</v>
      </c>
      <c r="C22" s="55">
        <f t="shared" si="0"/>
        <v>0.8</v>
      </c>
    </row>
    <row r="23" spans="1:3">
      <c r="A23" s="57" t="s">
        <v>20</v>
      </c>
      <c r="B23" s="57">
        <v>7978.09</v>
      </c>
      <c r="C23" s="55">
        <f t="shared" si="0"/>
        <v>0.8</v>
      </c>
    </row>
    <row r="24" spans="1:3">
      <c r="A24" s="57" t="s">
        <v>45</v>
      </c>
      <c r="B24" s="57">
        <v>35293.04</v>
      </c>
      <c r="C24" s="55">
        <f t="shared" si="0"/>
        <v>3.53</v>
      </c>
    </row>
    <row r="25" spans="1:3">
      <c r="A25" s="57" t="s">
        <v>48</v>
      </c>
      <c r="B25" s="57">
        <v>24852.05</v>
      </c>
      <c r="C25" s="55">
        <f t="shared" si="0"/>
        <v>2.49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95"/>
  <sheetViews>
    <sheetView zoomScale="55" zoomScaleNormal="55" workbookViewId="0">
      <pane ySplit="4" topLeftCell="A35" activePane="bottomLeft" state="frozen"/>
      <selection/>
      <selection pane="bottomLeft" activeCell="E45" sqref="E45"/>
    </sheetView>
  </sheetViews>
  <sheetFormatPr defaultColWidth="8.88333333333333" defaultRowHeight="13.5"/>
  <cols>
    <col min="1" max="1" width="11.7583333333333" customWidth="true"/>
    <col min="2" max="2" width="65.8833333333333" style="27" customWidth="true"/>
    <col min="3" max="3" width="36.7583333333333" customWidth="true"/>
    <col min="4" max="4" width="26.5" customWidth="true"/>
    <col min="5" max="5" width="31.5" customWidth="true"/>
    <col min="6" max="6" width="33.5" customWidth="true"/>
    <col min="7" max="7" width="31.5" customWidth="true"/>
    <col min="8" max="8" width="32.125" customWidth="true"/>
    <col min="9" max="9" width="32.8833333333333" customWidth="true"/>
    <col min="10" max="10" width="34.2583333333333" customWidth="true"/>
    <col min="11" max="11" width="24.7583333333333" customWidth="true"/>
  </cols>
  <sheetData>
    <row r="2" ht="89.1" customHeight="true" spans="1:11">
      <c r="A2" s="28" t="s">
        <v>78</v>
      </c>
      <c r="B2" s="29"/>
      <c r="C2" s="29"/>
      <c r="D2" s="29"/>
      <c r="E2" s="29"/>
      <c r="F2" s="29"/>
      <c r="G2" s="29"/>
      <c r="H2" s="29"/>
      <c r="I2" s="29"/>
      <c r="J2" s="29"/>
      <c r="K2" s="43"/>
    </row>
    <row r="3" ht="75" customHeight="true" spans="1:11">
      <c r="A3" s="30" t="s">
        <v>1</v>
      </c>
      <c r="B3" s="30" t="s">
        <v>2</v>
      </c>
      <c r="C3" s="30" t="s">
        <v>3</v>
      </c>
      <c r="D3" s="30"/>
      <c r="E3" s="30"/>
      <c r="F3" s="30"/>
      <c r="G3" s="30"/>
      <c r="H3" s="37" t="s">
        <v>79</v>
      </c>
      <c r="I3" s="37"/>
      <c r="J3" s="44"/>
      <c r="K3" s="39" t="s">
        <v>4</v>
      </c>
    </row>
    <row r="4" ht="123.95" customHeight="true" spans="1:11">
      <c r="A4" s="31"/>
      <c r="B4" s="31"/>
      <c r="C4" s="13" t="s">
        <v>5</v>
      </c>
      <c r="D4" s="13" t="s">
        <v>6</v>
      </c>
      <c r="E4" s="13" t="s">
        <v>7</v>
      </c>
      <c r="F4" s="13" t="s">
        <v>6</v>
      </c>
      <c r="G4" s="38" t="s">
        <v>80</v>
      </c>
      <c r="H4" s="39" t="s">
        <v>81</v>
      </c>
      <c r="I4" s="39" t="s">
        <v>6</v>
      </c>
      <c r="J4" s="45" t="s">
        <v>82</v>
      </c>
      <c r="K4" s="39"/>
    </row>
    <row r="5" ht="45" customHeight="true" spans="1:11">
      <c r="A5" s="31">
        <v>1</v>
      </c>
      <c r="B5" s="32" t="s">
        <v>8</v>
      </c>
      <c r="C5" s="33">
        <f>IFERROR(VLOOKUP(B5,常规业务透视表!$A$1:$C$53,2,0),0)</f>
        <v>73176.6387</v>
      </c>
      <c r="D5" s="33">
        <f>IFERROR(ROUND(VLOOKUP(B5,常规业务透视表!$A$1:$C$53,3,0)/10000,6),0)</f>
        <v>141.943103</v>
      </c>
      <c r="E5" s="33">
        <f>IFERROR(VLOOKUP(B5,常规业务透视表!$E$1:$G$35,2,0),0)</f>
        <v>9350</v>
      </c>
      <c r="F5" s="33">
        <f>IFERROR(ROUND(VLOOKUP(B5,常规业务透视表!$E$1:$G$35,3,0)/10000,6),0)</f>
        <v>13.326577</v>
      </c>
      <c r="G5" s="40">
        <f>ROUND(D5+F5,2)</f>
        <v>155.27</v>
      </c>
      <c r="H5" s="33">
        <v>16275</v>
      </c>
      <c r="I5" s="33">
        <v>16.25</v>
      </c>
      <c r="J5" s="46">
        <f>ROUND(I5,2)</f>
        <v>16.25</v>
      </c>
      <c r="K5" s="46">
        <f>ROUND(G5+J5,2)</f>
        <v>171.52</v>
      </c>
    </row>
    <row r="6" ht="45" customHeight="true" spans="1:11">
      <c r="A6" s="34">
        <v>2</v>
      </c>
      <c r="B6" s="32" t="s">
        <v>9</v>
      </c>
      <c r="C6" s="33">
        <f>IFERROR(VLOOKUP(B6,常规业务透视表!$A$1:$C$53,2,0),0)</f>
        <v>2105</v>
      </c>
      <c r="D6" s="33">
        <f>IFERROR(ROUND(VLOOKUP(B6,常规业务透视表!$A$1:$C$53,3,0)/10000,6),0)</f>
        <v>2.604247</v>
      </c>
      <c r="E6" s="33">
        <f>IFERROR(VLOOKUP(B6,常规业务透视表!$E$1:$G$35,2,0),0)</f>
        <v>1000</v>
      </c>
      <c r="F6" s="33">
        <f>IFERROR(ROUND(VLOOKUP(B6,常规业务透视表!$E$1:$G$35,3,0)/10000,6),0)</f>
        <v>0.250685</v>
      </c>
      <c r="G6" s="40">
        <f t="shared" ref="G6:G38" si="0">ROUND(D6+F6,2)</f>
        <v>2.85</v>
      </c>
      <c r="H6" s="33">
        <v>0</v>
      </c>
      <c r="I6" s="33">
        <v>0</v>
      </c>
      <c r="J6" s="46">
        <f t="shared" ref="J6:J39" si="1">ROUND(I6,2)</f>
        <v>0</v>
      </c>
      <c r="K6" s="46">
        <f>ROUND(G6+J6,2)</f>
        <v>2.85</v>
      </c>
    </row>
    <row r="7" ht="45" customHeight="true" spans="1:11">
      <c r="A7" s="34">
        <v>3</v>
      </c>
      <c r="B7" s="32" t="s">
        <v>10</v>
      </c>
      <c r="C7" s="33">
        <f>IFERROR(VLOOKUP(B7,常规业务透视表!$A$1:$C$53,2,0),0)</f>
        <v>25139</v>
      </c>
      <c r="D7" s="33">
        <f>IFERROR(ROUND(VLOOKUP(B7,常规业务透视表!$A$1:$C$53,3,0)/10000,6),0)</f>
        <v>48.397887</v>
      </c>
      <c r="E7" s="33">
        <f>IFERROR(VLOOKUP(B7,常规业务透视表!$E$1:$G$35,2,0),0)</f>
        <v>8450</v>
      </c>
      <c r="F7" s="33">
        <f>IFERROR(ROUND(VLOOKUP(B7,常规业务透视表!$E$1:$G$35,3,0)/10000,6),0)</f>
        <v>11.537879</v>
      </c>
      <c r="G7" s="40">
        <f t="shared" si="0"/>
        <v>59.94</v>
      </c>
      <c r="H7" s="33">
        <v>0</v>
      </c>
      <c r="I7" s="33">
        <v>0</v>
      </c>
      <c r="J7" s="46">
        <f t="shared" si="1"/>
        <v>0</v>
      </c>
      <c r="K7" s="46">
        <f>ROUND(G7+J7,2)</f>
        <v>59.94</v>
      </c>
    </row>
    <row r="8" ht="45" customHeight="true" spans="1:11">
      <c r="A8" s="34">
        <v>4</v>
      </c>
      <c r="B8" s="32" t="s">
        <v>11</v>
      </c>
      <c r="C8" s="33">
        <f>IFERROR(VLOOKUP(B8,常规业务透视表!$A$1:$C$53,2,0),0)</f>
        <v>0</v>
      </c>
      <c r="D8" s="33">
        <f>IFERROR(ROUND(VLOOKUP(B8,常规业务透视表!$A$1:$C$53,3,0)/10000,6),0)</f>
        <v>0</v>
      </c>
      <c r="E8" s="33">
        <f>IFERROR(VLOOKUP(B8,常规业务透视表!$E$1:$G$35,2,0),0)</f>
        <v>0</v>
      </c>
      <c r="F8" s="33">
        <f>IFERROR(ROUND(VLOOKUP(B8,常规业务透视表!$E$1:$G$35,3,0)/10000,6),0)</f>
        <v>0</v>
      </c>
      <c r="G8" s="40">
        <f t="shared" si="0"/>
        <v>0</v>
      </c>
      <c r="H8" s="33">
        <v>0</v>
      </c>
      <c r="I8" s="33">
        <v>0</v>
      </c>
      <c r="J8" s="46">
        <f t="shared" si="1"/>
        <v>0</v>
      </c>
      <c r="K8" s="46">
        <f>ROUND(G8+J8,2)</f>
        <v>0</v>
      </c>
    </row>
    <row r="9" ht="45" customHeight="true" spans="1:11">
      <c r="A9" s="34">
        <v>5</v>
      </c>
      <c r="B9" s="32" t="s">
        <v>12</v>
      </c>
      <c r="C9" s="33">
        <f>IFERROR(VLOOKUP(B9,常规业务透视表!$A$1:$C$53,2,0),0)</f>
        <v>106057.799999</v>
      </c>
      <c r="D9" s="33">
        <f>IFERROR(ROUND(VLOOKUP(B9,常规业务透视表!$A$1:$C$53,3,0)/10000,6),0)</f>
        <v>209.275378</v>
      </c>
      <c r="E9" s="33">
        <f>IFERROR(VLOOKUP(B9,常规业务透视表!$E$1:$G$35,2,0),0)</f>
        <v>25720</v>
      </c>
      <c r="F9" s="33">
        <f>IFERROR(ROUND(VLOOKUP(B9,常规业务透视表!$E$1:$G$35,3,0)/10000,6),0)</f>
        <v>38.377814</v>
      </c>
      <c r="G9" s="41">
        <f>ROUND(D9+F9,2)+0.01</f>
        <v>247.66</v>
      </c>
      <c r="H9" s="33">
        <v>0</v>
      </c>
      <c r="I9" s="33">
        <v>0</v>
      </c>
      <c r="J9" s="46">
        <f t="shared" si="1"/>
        <v>0</v>
      </c>
      <c r="K9" s="46">
        <f>ROUND(G9+J9,2)</f>
        <v>247.66</v>
      </c>
    </row>
    <row r="10" ht="45" customHeight="true" spans="1:11">
      <c r="A10" s="34"/>
      <c r="B10" s="32" t="s">
        <v>13</v>
      </c>
      <c r="C10" s="33">
        <f>IFERROR(VLOOKUP(B10,常规业务透视表!$A$1:$C$53,2,0),0)</f>
        <v>2345</v>
      </c>
      <c r="D10" s="33">
        <f>IFERROR(ROUND(VLOOKUP(B10,常规业务透视表!$A$1:$C$53,3,0)/10000,6),0)</f>
        <v>4.687534</v>
      </c>
      <c r="E10" s="33">
        <f>IFERROR(VLOOKUP(B10,常规业务透视表!$E$1:$G$35,2,0),0)</f>
        <v>2800</v>
      </c>
      <c r="F10" s="33">
        <f>IFERROR(ROUND(VLOOKUP(B10,常规业务透视表!$E$1:$G$35,3,0)/10000,6),0)</f>
        <v>4.188495</v>
      </c>
      <c r="G10" s="40">
        <f t="shared" ref="G10" si="2">ROUND(D10+F10,2)</f>
        <v>8.88</v>
      </c>
      <c r="H10" s="33"/>
      <c r="I10" s="33"/>
      <c r="J10" s="46"/>
      <c r="K10" s="46"/>
    </row>
    <row r="11" ht="45" customHeight="true" spans="1:11">
      <c r="A11" s="34"/>
      <c r="B11" s="32" t="s">
        <v>76</v>
      </c>
      <c r="C11" s="33">
        <f>IFERROR(VLOOKUP(B11,常规业务透视表!$A$1:$C$53,2,0),0)</f>
        <v>3359</v>
      </c>
      <c r="D11" s="33">
        <f>IFERROR(ROUND(VLOOKUP(B11,常规业务透视表!$A$1:$C$53,3,0)/10000,6),0)</f>
        <v>6.095726</v>
      </c>
      <c r="E11" s="33">
        <f>IFERROR(VLOOKUP(B11,常规业务透视表!$E$1:$G$35,2,0),0)</f>
        <v>800</v>
      </c>
      <c r="F11" s="33">
        <f>IFERROR(ROUND(VLOOKUP(B11,常规业务透视表!$E$1:$G$35,3,0)/10000,6),0)</f>
        <v>1.196713</v>
      </c>
      <c r="G11" s="41">
        <f>ROUND(D11+F11,2)+0.01</f>
        <v>7.3</v>
      </c>
      <c r="H11" s="33"/>
      <c r="I11" s="33"/>
      <c r="J11" s="46"/>
      <c r="K11" s="46"/>
    </row>
    <row r="12" ht="45" customHeight="true" spans="1:11">
      <c r="A12" s="34">
        <v>6</v>
      </c>
      <c r="B12" s="35" t="s">
        <v>83</v>
      </c>
      <c r="C12" s="36">
        <f>SUM(C10:C11)</f>
        <v>5704</v>
      </c>
      <c r="D12" s="36">
        <f t="shared" ref="D12:F12" si="3">SUM(D10:D11)</f>
        <v>10.78326</v>
      </c>
      <c r="E12" s="36">
        <f t="shared" si="3"/>
        <v>3600</v>
      </c>
      <c r="F12" s="36">
        <f t="shared" si="3"/>
        <v>5.385208</v>
      </c>
      <c r="G12" s="42">
        <f>ROUND(D12+F12,2)</f>
        <v>16.17</v>
      </c>
      <c r="H12" s="33">
        <v>0</v>
      </c>
      <c r="I12" s="33">
        <v>0</v>
      </c>
      <c r="J12" s="46">
        <f t="shared" si="1"/>
        <v>0</v>
      </c>
      <c r="K12" s="46">
        <f t="shared" ref="K12:K43" si="4">ROUND(G12+J12,2)</f>
        <v>16.17</v>
      </c>
    </row>
    <row r="13" ht="45" customHeight="true" spans="1:11">
      <c r="A13" s="34">
        <v>7</v>
      </c>
      <c r="B13" s="32" t="s">
        <v>14</v>
      </c>
      <c r="C13" s="33">
        <f>IFERROR(VLOOKUP(B13,常规业务透视表!$A$1:$C$53,2,0),0)</f>
        <v>12300</v>
      </c>
      <c r="D13" s="33">
        <f>IFERROR(ROUND(VLOOKUP(B13,常规业务透视表!$A$1:$C$53,3,0)/10000,6),0)</f>
        <v>24.506219</v>
      </c>
      <c r="E13" s="33">
        <f>IFERROR(VLOOKUP(B13,常规业务透视表!$E$1:$G$35,2,0),0)</f>
        <v>2720</v>
      </c>
      <c r="F13" s="33">
        <f>IFERROR(ROUND(VLOOKUP(B13,常规业务透视表!$E$1:$G$35,3,0)/10000,6),0)</f>
        <v>4.064712</v>
      </c>
      <c r="G13" s="40">
        <f t="shared" si="0"/>
        <v>28.57</v>
      </c>
      <c r="H13" s="33">
        <v>6000</v>
      </c>
      <c r="I13" s="33">
        <v>4.93</v>
      </c>
      <c r="J13" s="46">
        <f t="shared" si="1"/>
        <v>4.93</v>
      </c>
      <c r="K13" s="46">
        <f t="shared" si="4"/>
        <v>33.5</v>
      </c>
    </row>
    <row r="14" ht="45" customHeight="true" spans="1:11">
      <c r="A14" s="34">
        <v>8</v>
      </c>
      <c r="B14" s="32" t="s">
        <v>15</v>
      </c>
      <c r="C14" s="33">
        <f>IFERROR(VLOOKUP(B14,常规业务透视表!$A$1:$C$53,2,0),0)</f>
        <v>38843</v>
      </c>
      <c r="D14" s="33">
        <f>IFERROR(ROUND(VLOOKUP(B14,常规业务透视表!$A$1:$C$53,3,0)/10000,6),0)</f>
        <v>75.932851</v>
      </c>
      <c r="E14" s="33">
        <f>IFERROR(VLOOKUP(B14,常规业务透视表!$E$1:$G$35,2,0),0)</f>
        <v>3135</v>
      </c>
      <c r="F14" s="33">
        <f>IFERROR(ROUND(VLOOKUP(B14,常规业务透视表!$E$1:$G$35,3,0)/10000,6),0)</f>
        <v>4.688425</v>
      </c>
      <c r="G14" s="40">
        <f t="shared" si="0"/>
        <v>80.62</v>
      </c>
      <c r="H14" s="33">
        <v>0</v>
      </c>
      <c r="I14" s="33">
        <v>0</v>
      </c>
      <c r="J14" s="46">
        <f t="shared" si="1"/>
        <v>0</v>
      </c>
      <c r="K14" s="46">
        <f t="shared" si="4"/>
        <v>80.62</v>
      </c>
    </row>
    <row r="15" ht="45" customHeight="true" spans="1:11">
      <c r="A15" s="34">
        <v>9</v>
      </c>
      <c r="B15" s="32" t="s">
        <v>16</v>
      </c>
      <c r="C15" s="33">
        <f>IFERROR(VLOOKUP(B15,常规业务透视表!$A$1:$C$53,2,0),0)</f>
        <v>12803</v>
      </c>
      <c r="D15" s="33">
        <f>IFERROR(ROUND(VLOOKUP(B15,常规业务透视表!$A$1:$C$53,3,0)/10000,6),0)</f>
        <v>24.287375</v>
      </c>
      <c r="E15" s="33">
        <f>IFERROR(VLOOKUP(B15,常规业务透视表!$E$1:$G$35,2,0),0)</f>
        <v>4670</v>
      </c>
      <c r="F15" s="33">
        <f>IFERROR(ROUND(VLOOKUP(B15,常规业务透视表!$E$1:$G$35,3,0)/10000,6),0)</f>
        <v>5.842973</v>
      </c>
      <c r="G15" s="40">
        <f t="shared" si="0"/>
        <v>30.13</v>
      </c>
      <c r="H15" s="33">
        <v>800</v>
      </c>
      <c r="I15" s="33">
        <v>0.8</v>
      </c>
      <c r="J15" s="46">
        <f t="shared" si="1"/>
        <v>0.8</v>
      </c>
      <c r="K15" s="46">
        <f t="shared" si="4"/>
        <v>30.93</v>
      </c>
    </row>
    <row r="16" ht="45" customHeight="true" spans="1:11">
      <c r="A16" s="34">
        <v>10</v>
      </c>
      <c r="B16" s="32" t="s">
        <v>17</v>
      </c>
      <c r="C16" s="33">
        <f>IFERROR(VLOOKUP(B16,常规业务透视表!$A$1:$C$53,2,0),0)</f>
        <v>42061</v>
      </c>
      <c r="D16" s="33">
        <f>IFERROR(ROUND(VLOOKUP(B16,常规业务透视表!$A$1:$C$53,3,0)/10000,6),0)</f>
        <v>82.68172</v>
      </c>
      <c r="E16" s="33">
        <f>IFERROR(VLOOKUP(B16,常规业务透视表!$E$1:$G$35,2,0),0)</f>
        <v>5280</v>
      </c>
      <c r="F16" s="33">
        <f>IFERROR(ROUND(VLOOKUP(B16,常规业务透视表!$E$1:$G$35,3,0)/10000,6),0)</f>
        <v>7.91137</v>
      </c>
      <c r="G16" s="40">
        <f t="shared" si="0"/>
        <v>90.59</v>
      </c>
      <c r="H16" s="33">
        <v>0</v>
      </c>
      <c r="I16" s="33">
        <v>0</v>
      </c>
      <c r="J16" s="46">
        <f t="shared" si="1"/>
        <v>0</v>
      </c>
      <c r="K16" s="46">
        <f t="shared" si="4"/>
        <v>90.59</v>
      </c>
    </row>
    <row r="17" ht="45" customHeight="true" spans="1:11">
      <c r="A17" s="34">
        <v>11</v>
      </c>
      <c r="B17" s="32" t="s">
        <v>18</v>
      </c>
      <c r="C17" s="33">
        <f>IFERROR(VLOOKUP(B17,常规业务透视表!$A$1:$C$53,2,0),0)</f>
        <v>8544</v>
      </c>
      <c r="D17" s="33">
        <f>IFERROR(ROUND(VLOOKUP(B17,常规业务透视表!$A$1:$C$53,3,0)/10000,6),0)</f>
        <v>16.982027</v>
      </c>
      <c r="E17" s="33">
        <f>IFERROR(VLOOKUP(B17,常规业务透视表!$E$1:$G$35,2,0),0)</f>
        <v>8800</v>
      </c>
      <c r="F17" s="33">
        <f>IFERROR(ROUND(VLOOKUP(B17,常规业务透视表!$E$1:$G$35,3,0)/10000,6),0)</f>
        <v>13.179454</v>
      </c>
      <c r="G17" s="40">
        <f t="shared" si="0"/>
        <v>30.16</v>
      </c>
      <c r="H17" s="33">
        <v>0</v>
      </c>
      <c r="I17" s="33">
        <v>0</v>
      </c>
      <c r="J17" s="46">
        <f t="shared" si="1"/>
        <v>0</v>
      </c>
      <c r="K17" s="46">
        <f t="shared" si="4"/>
        <v>30.16</v>
      </c>
    </row>
    <row r="18" ht="45" customHeight="true" spans="1:11">
      <c r="A18" s="34">
        <v>12</v>
      </c>
      <c r="B18" s="32" t="s">
        <v>19</v>
      </c>
      <c r="C18" s="33">
        <f>IFERROR(VLOOKUP(B18,常规业务透视表!$A$1:$C$53,2,0),0)</f>
        <v>7063</v>
      </c>
      <c r="D18" s="33">
        <f>IFERROR(ROUND(VLOOKUP(B18,常规业务透视表!$A$1:$C$53,3,0)/10000,6),0)</f>
        <v>10.876091</v>
      </c>
      <c r="E18" s="33">
        <f>IFERROR(VLOOKUP(B18,常规业务透视表!$E$1:$G$35,2,0),0)</f>
        <v>11853</v>
      </c>
      <c r="F18" s="33">
        <f>IFERROR(ROUND(VLOOKUP(B18,常规业务透视表!$E$1:$G$35,3,0)/10000,6),0)</f>
        <v>17.356129</v>
      </c>
      <c r="G18" s="41">
        <f>ROUND(D18+F18,2)+0.01</f>
        <v>28.24</v>
      </c>
      <c r="H18" s="33">
        <v>0</v>
      </c>
      <c r="I18" s="33">
        <v>0</v>
      </c>
      <c r="J18" s="46">
        <f t="shared" si="1"/>
        <v>0</v>
      </c>
      <c r="K18" s="46">
        <f t="shared" si="4"/>
        <v>28.24</v>
      </c>
    </row>
    <row r="19" ht="45" customHeight="true" spans="1:11">
      <c r="A19" s="34">
        <v>13</v>
      </c>
      <c r="B19" s="32" t="s">
        <v>20</v>
      </c>
      <c r="C19" s="33">
        <f>IFERROR(VLOOKUP(B19,常规业务透视表!$A$1:$C$53,2,0),0)</f>
        <v>15606.961439</v>
      </c>
      <c r="D19" s="33">
        <f>IFERROR(ROUND(VLOOKUP(B19,常规业务透视表!$A$1:$C$53,3,0)/10000,6),0)</f>
        <v>30.945763</v>
      </c>
      <c r="E19" s="33">
        <f>IFERROR(VLOOKUP(B19,常规业务透视表!$E$1:$G$35,2,0),0)</f>
        <v>2279.5</v>
      </c>
      <c r="F19" s="33">
        <f>IFERROR(ROUND(VLOOKUP(B19,常规业务透视表!$E$1:$G$35,3,0)/10000,6),0)</f>
        <v>3.348449</v>
      </c>
      <c r="G19" s="41">
        <f>ROUND(D19+F19,2)+0.01</f>
        <v>34.3</v>
      </c>
      <c r="H19" s="33">
        <v>800</v>
      </c>
      <c r="I19" s="33">
        <v>0.8</v>
      </c>
      <c r="J19" s="46">
        <f t="shared" si="1"/>
        <v>0.8</v>
      </c>
      <c r="K19" s="46">
        <f t="shared" si="4"/>
        <v>35.1</v>
      </c>
    </row>
    <row r="20" ht="45" customHeight="true" spans="1:11">
      <c r="A20" s="34">
        <v>14</v>
      </c>
      <c r="B20" s="32" t="s">
        <v>21</v>
      </c>
      <c r="C20" s="33">
        <f>IFERROR(VLOOKUP(B20,常规业务透视表!$A$1:$C$53,2,0),0)</f>
        <v>0</v>
      </c>
      <c r="D20" s="33">
        <f>IFERROR(ROUND(VLOOKUP(B20,常规业务透视表!$A$1:$C$53,3,0)/10000,6),0)</f>
        <v>0</v>
      </c>
      <c r="E20" s="33">
        <f>IFERROR(VLOOKUP(B20,常规业务透视表!$E$1:$G$35,2,0),0)</f>
        <v>0</v>
      </c>
      <c r="F20" s="33">
        <f>IFERROR(ROUND(VLOOKUP(B20,常规业务透视表!$E$1:$G$35,3,0)/10000,6),0)</f>
        <v>0</v>
      </c>
      <c r="G20" s="40">
        <f t="shared" si="0"/>
        <v>0</v>
      </c>
      <c r="H20" s="33">
        <v>0</v>
      </c>
      <c r="I20" s="33">
        <v>0</v>
      </c>
      <c r="J20" s="46">
        <f t="shared" si="1"/>
        <v>0</v>
      </c>
      <c r="K20" s="46">
        <f t="shared" si="4"/>
        <v>0</v>
      </c>
    </row>
    <row r="21" ht="45" customHeight="true" spans="1:11">
      <c r="A21" s="34">
        <v>15</v>
      </c>
      <c r="B21" s="32" t="s">
        <v>22</v>
      </c>
      <c r="C21" s="33">
        <f>IFERROR(VLOOKUP(B21,常规业务透视表!$A$1:$C$53,2,0),0)</f>
        <v>4849.324</v>
      </c>
      <c r="D21" s="33">
        <f>IFERROR(ROUND(VLOOKUP(B21,常规业务透视表!$A$1:$C$53,3,0)/10000,6),0)</f>
        <v>9.612144</v>
      </c>
      <c r="E21" s="33">
        <f>IFERROR(VLOOKUP(B21,常规业务透视表!$E$1:$G$35,2,0),0)</f>
        <v>6100</v>
      </c>
      <c r="F21" s="33">
        <f>IFERROR(ROUND(VLOOKUP(B21,常规业务透视表!$E$1:$G$35,3,0)/10000,6),0)</f>
        <v>9.123701</v>
      </c>
      <c r="G21" s="41">
        <f>ROUND(D21+F21,2)-0.01</f>
        <v>18.73</v>
      </c>
      <c r="H21" s="33">
        <v>0</v>
      </c>
      <c r="I21" s="33">
        <v>0</v>
      </c>
      <c r="J21" s="46">
        <f t="shared" si="1"/>
        <v>0</v>
      </c>
      <c r="K21" s="46">
        <f t="shared" si="4"/>
        <v>18.73</v>
      </c>
    </row>
    <row r="22" ht="45" customHeight="true" spans="1:11">
      <c r="A22" s="34">
        <v>16</v>
      </c>
      <c r="B22" s="32" t="s">
        <v>23</v>
      </c>
      <c r="C22" s="33">
        <f>IFERROR(VLOOKUP(B22,常规业务透视表!$A$1:$C$53,2,0),0)</f>
        <v>3029</v>
      </c>
      <c r="D22" s="33">
        <f>IFERROR(ROUND(VLOOKUP(B22,常规业务透视表!$A$1:$C$53,3,0)/10000,6),0)</f>
        <v>5.749396</v>
      </c>
      <c r="E22" s="33">
        <f>IFERROR(VLOOKUP(B22,常规业务透视表!$E$1:$G$35,2,0),0)</f>
        <v>0</v>
      </c>
      <c r="F22" s="33">
        <f>IFERROR(ROUND(VLOOKUP(B22,常规业务透视表!$E$1:$G$35,3,0)/10000,6),0)</f>
        <v>0</v>
      </c>
      <c r="G22" s="40">
        <f t="shared" si="0"/>
        <v>5.75</v>
      </c>
      <c r="H22" s="33">
        <v>0</v>
      </c>
      <c r="I22" s="33">
        <v>0</v>
      </c>
      <c r="J22" s="46">
        <f t="shared" si="1"/>
        <v>0</v>
      </c>
      <c r="K22" s="46">
        <f t="shared" si="4"/>
        <v>5.75</v>
      </c>
    </row>
    <row r="23" ht="45" customHeight="true" spans="1:11">
      <c r="A23" s="34">
        <v>17</v>
      </c>
      <c r="B23" s="32" t="s">
        <v>24</v>
      </c>
      <c r="C23" s="33">
        <f>IFERROR(VLOOKUP(B23,常规业务透视表!$A$1:$C$53,2,0),0)</f>
        <v>4808</v>
      </c>
      <c r="D23" s="33">
        <f>IFERROR(ROUND(VLOOKUP(B23,常规业务透视表!$A$1:$C$53,3,0)/10000,6),0)</f>
        <v>9.530529</v>
      </c>
      <c r="E23" s="33">
        <f>IFERROR(VLOOKUP(B23,常规业务透视表!$E$1:$G$35,2,0),0)</f>
        <v>1800</v>
      </c>
      <c r="F23" s="33">
        <f>IFERROR(ROUND(VLOOKUP(B23,常规业务透视表!$E$1:$G$35,3,0)/10000,6),0)</f>
        <v>2.696713</v>
      </c>
      <c r="G23" s="40">
        <f t="shared" si="0"/>
        <v>12.23</v>
      </c>
      <c r="H23" s="33">
        <v>0</v>
      </c>
      <c r="I23" s="33">
        <v>0</v>
      </c>
      <c r="J23" s="46">
        <f t="shared" si="1"/>
        <v>0</v>
      </c>
      <c r="K23" s="46">
        <f t="shared" si="4"/>
        <v>12.23</v>
      </c>
    </row>
    <row r="24" ht="45" customHeight="true" spans="1:11">
      <c r="A24" s="34">
        <v>18</v>
      </c>
      <c r="B24" s="32" t="s">
        <v>25</v>
      </c>
      <c r="C24" s="33">
        <f>IFERROR(VLOOKUP(B24,常规业务透视表!$A$1:$C$53,2,0),0)</f>
        <v>8518.1</v>
      </c>
      <c r="D24" s="33">
        <f>IFERROR(ROUND(VLOOKUP(B24,常规业务透视表!$A$1:$C$53,3,0)/10000,6),0)</f>
        <v>16.50464</v>
      </c>
      <c r="E24" s="33">
        <f>IFERROR(VLOOKUP(B24,常规业务透视表!$E$1:$G$35,2,0),0)</f>
        <v>4450</v>
      </c>
      <c r="F24" s="33">
        <f>IFERROR(ROUND(VLOOKUP(B24,常规业务透视表!$E$1:$G$35,3,0)/10000,6),0)</f>
        <v>6.663495</v>
      </c>
      <c r="G24" s="41">
        <f>ROUND(D24+F24,2)-0.01</f>
        <v>23.16</v>
      </c>
      <c r="H24" s="33">
        <v>0</v>
      </c>
      <c r="I24" s="33">
        <v>0</v>
      </c>
      <c r="J24" s="46">
        <f t="shared" si="1"/>
        <v>0</v>
      </c>
      <c r="K24" s="46">
        <f t="shared" si="4"/>
        <v>23.16</v>
      </c>
    </row>
    <row r="25" ht="45" customHeight="true" spans="1:11">
      <c r="A25" s="34">
        <v>19</v>
      </c>
      <c r="B25" s="32" t="s">
        <v>26</v>
      </c>
      <c r="C25" s="33">
        <f>IFERROR(VLOOKUP(B25,常规业务透视表!$A$1:$C$53,2,0),0)</f>
        <v>13465.8</v>
      </c>
      <c r="D25" s="33">
        <f>IFERROR(ROUND(VLOOKUP(B25,常规业务透视表!$A$1:$C$53,3,0)/10000,6),0)</f>
        <v>22.784843</v>
      </c>
      <c r="E25" s="33">
        <f>IFERROR(VLOOKUP(B25,常规业务透视表!$E$1:$G$35,2,0),0)</f>
        <v>0</v>
      </c>
      <c r="F25" s="33">
        <f>IFERROR(ROUND(VLOOKUP(B25,常规业务透视表!$E$1:$G$35,3,0)/10000,6),0)</f>
        <v>0</v>
      </c>
      <c r="G25" s="40">
        <f t="shared" si="0"/>
        <v>22.78</v>
      </c>
      <c r="H25" s="33">
        <v>0</v>
      </c>
      <c r="I25" s="33">
        <v>0</v>
      </c>
      <c r="J25" s="46">
        <f t="shared" si="1"/>
        <v>0</v>
      </c>
      <c r="K25" s="46">
        <f t="shared" si="4"/>
        <v>22.78</v>
      </c>
    </row>
    <row r="26" ht="45" customHeight="true" spans="1:11">
      <c r="A26" s="34">
        <v>20</v>
      </c>
      <c r="B26" s="32" t="s">
        <v>27</v>
      </c>
      <c r="C26" s="33">
        <f>IFERROR(VLOOKUP(B26,常规业务透视表!$A$1:$C$53,2,0),0)</f>
        <v>8510</v>
      </c>
      <c r="D26" s="33">
        <f>IFERROR(ROUND(VLOOKUP(B26,常规业务透视表!$A$1:$C$53,3,0)/10000,6),0)</f>
        <v>15.614192</v>
      </c>
      <c r="E26" s="33">
        <f>IFERROR(VLOOKUP(B26,常规业务透视表!$E$1:$G$35,2,0),0)</f>
        <v>2499.9566</v>
      </c>
      <c r="F26" s="33">
        <f>IFERROR(ROUND(VLOOKUP(B26,常规业务透视表!$E$1:$G$35,3,0)/10000,6),0)</f>
        <v>3.325004</v>
      </c>
      <c r="G26" s="40">
        <f t="shared" si="0"/>
        <v>18.94</v>
      </c>
      <c r="H26" s="33">
        <v>0</v>
      </c>
      <c r="I26" s="33">
        <v>0</v>
      </c>
      <c r="J26" s="46">
        <f t="shared" si="1"/>
        <v>0</v>
      </c>
      <c r="K26" s="46">
        <f t="shared" si="4"/>
        <v>18.94</v>
      </c>
    </row>
    <row r="27" ht="45" customHeight="true" spans="1:11">
      <c r="A27" s="34">
        <v>21</v>
      </c>
      <c r="B27" s="32" t="s">
        <v>28</v>
      </c>
      <c r="C27" s="33">
        <f>IFERROR(VLOOKUP(B27,常规业务透视表!$A$1:$C$53,2,0),0)</f>
        <v>14557.98</v>
      </c>
      <c r="D27" s="33">
        <f>IFERROR(ROUND(VLOOKUP(B27,常规业务透视表!$A$1:$C$53,3,0)/10000,6),0)</f>
        <v>28.067058</v>
      </c>
      <c r="E27" s="33">
        <f>IFERROR(VLOOKUP(B27,常规业务透视表!$E$1:$G$35,2,0),0)</f>
        <v>0</v>
      </c>
      <c r="F27" s="33">
        <f>IFERROR(ROUND(VLOOKUP(B27,常规业务透视表!$E$1:$G$35,3,0)/10000,6),0)</f>
        <v>0</v>
      </c>
      <c r="G27" s="40">
        <f t="shared" si="0"/>
        <v>28.07</v>
      </c>
      <c r="H27" s="33">
        <v>0</v>
      </c>
      <c r="I27" s="33">
        <v>0</v>
      </c>
      <c r="J27" s="46">
        <f t="shared" si="1"/>
        <v>0</v>
      </c>
      <c r="K27" s="46">
        <f t="shared" si="4"/>
        <v>28.07</v>
      </c>
    </row>
    <row r="28" ht="45" customHeight="true" spans="1:11">
      <c r="A28" s="34">
        <v>22</v>
      </c>
      <c r="B28" s="32" t="s">
        <v>30</v>
      </c>
      <c r="C28" s="33">
        <f>IFERROR(VLOOKUP(B28,常规业务透视表!$A$1:$C$53,2,0),0)</f>
        <v>19580.08</v>
      </c>
      <c r="D28" s="33">
        <f>IFERROR(ROUND(VLOOKUP(B28,常规业务透视表!$A$1:$C$53,3,0)/10000,6),0)</f>
        <v>33.42251</v>
      </c>
      <c r="E28" s="33">
        <f>IFERROR(VLOOKUP(B28,常规业务透视表!$E$1:$G$35,2,0),0)</f>
        <v>0</v>
      </c>
      <c r="F28" s="33">
        <f>IFERROR(ROUND(VLOOKUP(B28,常规业务透视表!$E$1:$G$35,3,0)/10000,6),0)</f>
        <v>0</v>
      </c>
      <c r="G28" s="40">
        <f t="shared" si="0"/>
        <v>33.42</v>
      </c>
      <c r="H28" s="33">
        <v>0</v>
      </c>
      <c r="I28" s="33">
        <v>0</v>
      </c>
      <c r="J28" s="46">
        <f t="shared" si="1"/>
        <v>0</v>
      </c>
      <c r="K28" s="46">
        <f t="shared" si="4"/>
        <v>33.42</v>
      </c>
    </row>
    <row r="29" ht="45" customHeight="true" spans="1:11">
      <c r="A29" s="34">
        <v>23</v>
      </c>
      <c r="B29" s="32" t="s">
        <v>31</v>
      </c>
      <c r="C29" s="33">
        <f>IFERROR(VLOOKUP(B29,常规业务透视表!$A$1:$C$53,2,0),0)</f>
        <v>285</v>
      </c>
      <c r="D29" s="33">
        <f>IFERROR(ROUND(VLOOKUP(B29,常规业务透视表!$A$1:$C$53,3,0)/10000,6),0)</f>
        <v>0.57</v>
      </c>
      <c r="E29" s="33">
        <f>IFERROR(VLOOKUP(B29,常规业务透视表!$E$1:$G$35,2,0),0)</f>
        <v>0</v>
      </c>
      <c r="F29" s="33">
        <f>IFERROR(ROUND(VLOOKUP(B29,常规业务透视表!$E$1:$G$35,3,0)/10000,6),0)</f>
        <v>0</v>
      </c>
      <c r="G29" s="40">
        <f t="shared" si="0"/>
        <v>0.57</v>
      </c>
      <c r="H29" s="33">
        <v>0</v>
      </c>
      <c r="I29" s="33">
        <v>0</v>
      </c>
      <c r="J29" s="46">
        <f t="shared" si="1"/>
        <v>0</v>
      </c>
      <c r="K29" s="46">
        <f t="shared" si="4"/>
        <v>0.57</v>
      </c>
    </row>
    <row r="30" ht="45" customHeight="true" spans="1:11">
      <c r="A30" s="34">
        <v>24</v>
      </c>
      <c r="B30" s="32" t="s">
        <v>32</v>
      </c>
      <c r="C30" s="33">
        <f>IFERROR(VLOOKUP(B30,常规业务透视表!$A$1:$C$53,2,0),0)</f>
        <v>1160</v>
      </c>
      <c r="D30" s="33">
        <f>IFERROR(ROUND(VLOOKUP(B30,常规业务透视表!$A$1:$C$53,3,0)/10000,6),0)</f>
        <v>1.767671</v>
      </c>
      <c r="E30" s="33">
        <f>IFERROR(VLOOKUP(B30,常规业务透视表!$E$1:$G$35,2,0),0)</f>
        <v>650</v>
      </c>
      <c r="F30" s="33">
        <f>IFERROR(ROUND(VLOOKUP(B30,常规业务透视表!$E$1:$G$35,3,0)/10000,6),0)</f>
        <v>0.892192</v>
      </c>
      <c r="G30" s="40">
        <f t="shared" si="0"/>
        <v>2.66</v>
      </c>
      <c r="H30" s="33">
        <v>0</v>
      </c>
      <c r="I30" s="33">
        <v>0</v>
      </c>
      <c r="J30" s="46">
        <f t="shared" si="1"/>
        <v>0</v>
      </c>
      <c r="K30" s="46">
        <f t="shared" si="4"/>
        <v>2.66</v>
      </c>
    </row>
    <row r="31" ht="45" customHeight="true" spans="1:11">
      <c r="A31" s="34">
        <v>25</v>
      </c>
      <c r="B31" s="32" t="s">
        <v>33</v>
      </c>
      <c r="C31" s="33">
        <f>IFERROR(VLOOKUP(B31,常规业务透视表!$A$1:$C$53,2,0),0)</f>
        <v>0</v>
      </c>
      <c r="D31" s="33">
        <f>IFERROR(ROUND(VLOOKUP(B31,常规业务透视表!$A$1:$C$53,3,0)/10000,6),0)</f>
        <v>0</v>
      </c>
      <c r="E31" s="33">
        <f>IFERROR(VLOOKUP(B31,常规业务透视表!$E$1:$G$35,2,0),0)</f>
        <v>0</v>
      </c>
      <c r="F31" s="33">
        <f>IFERROR(ROUND(VLOOKUP(B31,常规业务透视表!$E$1:$G$35,3,0)/10000,6),0)</f>
        <v>0</v>
      </c>
      <c r="G31" s="40">
        <f t="shared" si="0"/>
        <v>0</v>
      </c>
      <c r="H31" s="33">
        <v>0</v>
      </c>
      <c r="I31" s="33">
        <v>0</v>
      </c>
      <c r="J31" s="46">
        <f t="shared" si="1"/>
        <v>0</v>
      </c>
      <c r="K31" s="46">
        <f t="shared" si="4"/>
        <v>0</v>
      </c>
    </row>
    <row r="32" ht="45" customHeight="true" spans="1:11">
      <c r="A32" s="34">
        <v>26</v>
      </c>
      <c r="B32" s="32" t="s">
        <v>35</v>
      </c>
      <c r="C32" s="33">
        <f>IFERROR(VLOOKUP(B32,常规业务透视表!$A$1:$C$53,2,0),0)</f>
        <v>0</v>
      </c>
      <c r="D32" s="33">
        <f>IFERROR(ROUND(VLOOKUP(B32,常规业务透视表!$A$1:$C$53,3,0)/10000,6),0)</f>
        <v>0</v>
      </c>
      <c r="E32" s="33">
        <f>IFERROR(VLOOKUP(B32,常规业务透视表!$E$1:$G$35,2,0),0)</f>
        <v>0</v>
      </c>
      <c r="F32" s="33">
        <f>IFERROR(ROUND(VLOOKUP(B32,常规业务透视表!$E$1:$G$35,3,0)/10000,6),0)</f>
        <v>0</v>
      </c>
      <c r="G32" s="40">
        <f t="shared" si="0"/>
        <v>0</v>
      </c>
      <c r="H32" s="33">
        <v>0</v>
      </c>
      <c r="I32" s="33">
        <v>0</v>
      </c>
      <c r="J32" s="46">
        <f t="shared" si="1"/>
        <v>0</v>
      </c>
      <c r="K32" s="46">
        <f t="shared" si="4"/>
        <v>0</v>
      </c>
    </row>
    <row r="33" ht="45" customHeight="true" spans="1:11">
      <c r="A33" s="34">
        <v>27</v>
      </c>
      <c r="B33" s="32" t="s">
        <v>36</v>
      </c>
      <c r="C33" s="33">
        <f>IFERROR(VLOOKUP(B33,常规业务透视表!$A$1:$C$53,2,0),0)</f>
        <v>12048</v>
      </c>
      <c r="D33" s="33">
        <f>IFERROR(ROUND(VLOOKUP(B33,常规业务透视表!$A$1:$C$53,3,0)/10000,6),0)</f>
        <v>23.383178</v>
      </c>
      <c r="E33" s="33">
        <f>IFERROR(VLOOKUP(B33,常规业务透视表!$E$1:$G$35,2,0),0)</f>
        <v>9570</v>
      </c>
      <c r="F33" s="33">
        <f>IFERROR(ROUND(VLOOKUP(B33,常规业务透视表!$E$1:$G$35,3,0)/10000,6),0)</f>
        <v>13.582522</v>
      </c>
      <c r="G33" s="41">
        <f>ROUND(D33+F33,2)-0.01</f>
        <v>36.96</v>
      </c>
      <c r="H33" s="33">
        <v>0</v>
      </c>
      <c r="I33" s="33">
        <v>0</v>
      </c>
      <c r="J33" s="46">
        <f t="shared" si="1"/>
        <v>0</v>
      </c>
      <c r="K33" s="46">
        <f t="shared" si="4"/>
        <v>36.96</v>
      </c>
    </row>
    <row r="34" ht="45" customHeight="true" spans="1:11">
      <c r="A34" s="34">
        <v>28</v>
      </c>
      <c r="B34" s="32" t="s">
        <v>37</v>
      </c>
      <c r="C34" s="33">
        <f>IFERROR(VLOOKUP(B34,常规业务透视表!$A$1:$C$53,2,0),0)</f>
        <v>4578</v>
      </c>
      <c r="D34" s="33">
        <f>IFERROR(ROUND(VLOOKUP(B34,常规业务透视表!$A$1:$C$53,3,0)/10000,6),0)</f>
        <v>9.051178</v>
      </c>
      <c r="E34" s="33">
        <f>IFERROR(VLOOKUP(B34,常规业务透视表!$E$1:$G$35,2,0),0)</f>
        <v>1000</v>
      </c>
      <c r="F34" s="33">
        <f>IFERROR(ROUND(VLOOKUP(B34,常规业务透视表!$E$1:$G$35,3,0)/10000,6),0)</f>
        <v>1.5</v>
      </c>
      <c r="G34" s="40">
        <f t="shared" si="0"/>
        <v>10.55</v>
      </c>
      <c r="H34" s="33">
        <v>0</v>
      </c>
      <c r="I34" s="33">
        <v>0</v>
      </c>
      <c r="J34" s="46">
        <f t="shared" si="1"/>
        <v>0</v>
      </c>
      <c r="K34" s="46">
        <f t="shared" si="4"/>
        <v>10.55</v>
      </c>
    </row>
    <row r="35" ht="45" customHeight="true" spans="1:11">
      <c r="A35" s="34">
        <v>29</v>
      </c>
      <c r="B35" s="32" t="s">
        <v>38</v>
      </c>
      <c r="C35" s="33">
        <f>IFERROR(VLOOKUP(B35,常规业务透视表!$A$1:$C$53,2,0),0)</f>
        <v>3733.9</v>
      </c>
      <c r="D35" s="33">
        <f>IFERROR(ROUND(VLOOKUP(B35,常规业务透视表!$A$1:$C$53,3,0)/10000,6),0)</f>
        <v>7.147887</v>
      </c>
      <c r="E35" s="33">
        <f>IFERROR(VLOOKUP(B35,常规业务透视表!$E$1:$G$35,2,0),0)</f>
        <v>2300</v>
      </c>
      <c r="F35" s="33">
        <f>IFERROR(ROUND(VLOOKUP(B35,常规业务透视表!$E$1:$G$35,3,0)/10000,6),0)</f>
        <v>3.45</v>
      </c>
      <c r="G35" s="40">
        <f t="shared" si="0"/>
        <v>10.6</v>
      </c>
      <c r="H35" s="33">
        <v>0</v>
      </c>
      <c r="I35" s="33">
        <v>0</v>
      </c>
      <c r="J35" s="46">
        <f t="shared" si="1"/>
        <v>0</v>
      </c>
      <c r="K35" s="46">
        <f t="shared" si="4"/>
        <v>10.6</v>
      </c>
    </row>
    <row r="36" ht="45" customHeight="true" spans="1:11">
      <c r="A36" s="34">
        <v>30</v>
      </c>
      <c r="B36" s="32" t="s">
        <v>39</v>
      </c>
      <c r="C36" s="33">
        <f>IFERROR(VLOOKUP(B36,常规业务透视表!$A$1:$C$53,2,0),0)</f>
        <v>2030</v>
      </c>
      <c r="D36" s="33">
        <f>IFERROR(ROUND(VLOOKUP(B36,常规业务透视表!$A$1:$C$53,3,0)/10000,6),0)</f>
        <v>4.054958</v>
      </c>
      <c r="E36" s="33">
        <f>IFERROR(VLOOKUP(B36,常规业务透视表!$E$1:$G$35,2,0),0)</f>
        <v>800</v>
      </c>
      <c r="F36" s="33">
        <f>IFERROR(ROUND(VLOOKUP(B36,常规业务透视表!$E$1:$G$35,3,0)/10000,6),0)</f>
        <v>0.999452</v>
      </c>
      <c r="G36" s="40">
        <f t="shared" si="0"/>
        <v>5.05</v>
      </c>
      <c r="H36" s="33">
        <v>0</v>
      </c>
      <c r="I36" s="33">
        <v>0</v>
      </c>
      <c r="J36" s="46">
        <f t="shared" si="1"/>
        <v>0</v>
      </c>
      <c r="K36" s="46">
        <f t="shared" si="4"/>
        <v>5.05</v>
      </c>
    </row>
    <row r="37" ht="45" customHeight="true" spans="1:11">
      <c r="A37" s="34">
        <v>31</v>
      </c>
      <c r="B37" s="32" t="s">
        <v>40</v>
      </c>
      <c r="C37" s="33">
        <f>IFERROR(VLOOKUP(B37,常规业务透视表!$A$1:$C$53,2,0),0)</f>
        <v>2872</v>
      </c>
      <c r="D37" s="33">
        <f>IFERROR(ROUND(VLOOKUP(B37,常规业务透视表!$A$1:$C$53,3,0)/10000,6),0)</f>
        <v>5.258388</v>
      </c>
      <c r="E37" s="33">
        <f>IFERROR(VLOOKUP(B37,常规业务透视表!$E$1:$G$35,2,0),0)</f>
        <v>0</v>
      </c>
      <c r="F37" s="33">
        <f>IFERROR(ROUND(VLOOKUP(B37,常规业务透视表!$E$1:$G$35,3,0)/10000,6),0)</f>
        <v>0</v>
      </c>
      <c r="G37" s="40">
        <f t="shared" si="0"/>
        <v>5.26</v>
      </c>
      <c r="H37" s="33">
        <v>0</v>
      </c>
      <c r="I37" s="33">
        <v>0</v>
      </c>
      <c r="J37" s="46">
        <f t="shared" si="1"/>
        <v>0</v>
      </c>
      <c r="K37" s="46">
        <f t="shared" si="4"/>
        <v>5.26</v>
      </c>
    </row>
    <row r="38" ht="45" customHeight="true" spans="1:11">
      <c r="A38" s="34">
        <v>32</v>
      </c>
      <c r="B38" s="32" t="s">
        <v>41</v>
      </c>
      <c r="C38" s="33">
        <f>IFERROR(VLOOKUP(B38,常规业务透视表!$A$1:$C$53,2,0),0)</f>
        <v>920</v>
      </c>
      <c r="D38" s="33">
        <f>IFERROR(ROUND(VLOOKUP(B38,常规业务透视表!$A$1:$C$53,3,0)/10000,6),0)</f>
        <v>1.84</v>
      </c>
      <c r="E38" s="33">
        <f>IFERROR(VLOOKUP(B38,常规业务透视表!$E$1:$G$35,2,0),0)</f>
        <v>1810</v>
      </c>
      <c r="F38" s="33">
        <f>IFERROR(ROUND(VLOOKUP(B38,常规业务透视表!$E$1:$G$35,3,0)/10000,6),0)</f>
        <v>2.703287</v>
      </c>
      <c r="G38" s="40">
        <f t="shared" si="0"/>
        <v>4.54</v>
      </c>
      <c r="H38" s="33">
        <v>0</v>
      </c>
      <c r="I38" s="33">
        <v>0</v>
      </c>
      <c r="J38" s="46">
        <f t="shared" si="1"/>
        <v>0</v>
      </c>
      <c r="K38" s="46">
        <f t="shared" si="4"/>
        <v>4.54</v>
      </c>
    </row>
    <row r="39" ht="45" customHeight="true" spans="1:11">
      <c r="A39" s="34">
        <v>33</v>
      </c>
      <c r="B39" s="32" t="s">
        <v>42</v>
      </c>
      <c r="C39" s="33">
        <f>IFERROR(VLOOKUP(B39,常规业务透视表!$A$1:$C$53,2,0),0)</f>
        <v>7660</v>
      </c>
      <c r="D39" s="33">
        <f>IFERROR(ROUND(VLOOKUP(B39,常规业务透视表!$A$1:$C$53,3,0)/10000,6),0)</f>
        <v>14.786846</v>
      </c>
      <c r="E39" s="33">
        <f>IFERROR(VLOOKUP(B39,常规业务透视表!$E$1:$G$35,2,0),0)</f>
        <v>8400</v>
      </c>
      <c r="F39" s="33">
        <f>IFERROR(ROUND(VLOOKUP(B39,常规业务透视表!$E$1:$G$35,3,0)/10000,6),0)</f>
        <v>12.556031</v>
      </c>
      <c r="G39" s="41">
        <f>ROUND(D39+F39,2)+0.01</f>
        <v>27.35</v>
      </c>
      <c r="H39" s="33">
        <v>0</v>
      </c>
      <c r="I39" s="33">
        <v>0</v>
      </c>
      <c r="J39" s="46">
        <f t="shared" si="1"/>
        <v>0</v>
      </c>
      <c r="K39" s="46">
        <f t="shared" si="4"/>
        <v>27.35</v>
      </c>
    </row>
    <row r="40" ht="45" customHeight="true" spans="1:11">
      <c r="A40" s="34">
        <v>34</v>
      </c>
      <c r="B40" s="32" t="s">
        <v>44</v>
      </c>
      <c r="C40" s="33">
        <f>IFERROR(VLOOKUP(B40,常规业务透视表!$A$1:$C$53,2,0),0)</f>
        <v>4388</v>
      </c>
      <c r="D40" s="33">
        <f>IFERROR(ROUND(VLOOKUP(B40,常规业务透视表!$A$1:$C$53,3,0)/10000,6),0)</f>
        <v>8.463692</v>
      </c>
      <c r="E40" s="33">
        <f>IFERROR(VLOOKUP(B40,常规业务透视表!$E$1:$G$35,2,0),0)</f>
        <v>1980</v>
      </c>
      <c r="F40" s="33">
        <f>IFERROR(ROUND(VLOOKUP(B40,常规业务透视表!$E$1:$G$35,3,0)/10000,6),0)</f>
        <v>2.97</v>
      </c>
      <c r="G40" s="40">
        <f t="shared" ref="G40:G64" si="5">ROUND(D40+F40,2)</f>
        <v>11.43</v>
      </c>
      <c r="H40" s="33">
        <v>0</v>
      </c>
      <c r="I40" s="33">
        <v>0</v>
      </c>
      <c r="J40" s="46">
        <f t="shared" ref="J40:J65" si="6">ROUND(I40,2)</f>
        <v>0</v>
      </c>
      <c r="K40" s="46">
        <f t="shared" si="4"/>
        <v>11.43</v>
      </c>
    </row>
    <row r="41" ht="45" customHeight="true" spans="1:11">
      <c r="A41" s="34">
        <v>35</v>
      </c>
      <c r="B41" s="32" t="s">
        <v>45</v>
      </c>
      <c r="C41" s="33">
        <f>IFERROR(VLOOKUP(B41,常规业务透视表!$A$1:$C$53,2,0),0)</f>
        <v>4026</v>
      </c>
      <c r="D41" s="33">
        <f>IFERROR(ROUND(VLOOKUP(B41,常规业务透视表!$A$1:$C$53,3,0)/10000,6),0)</f>
        <v>8.04926</v>
      </c>
      <c r="E41" s="33">
        <f>IFERROR(VLOOKUP(B41,常规业务透视表!$E$1:$G$35,2,0),0)</f>
        <v>0</v>
      </c>
      <c r="F41" s="33">
        <f>IFERROR(ROUND(VLOOKUP(B41,常规业务透视表!$E$1:$G$35,3,0)/10000,6),0)</f>
        <v>0</v>
      </c>
      <c r="G41" s="40">
        <f t="shared" si="5"/>
        <v>8.05</v>
      </c>
      <c r="H41" s="33">
        <v>3539</v>
      </c>
      <c r="I41" s="33">
        <v>3.53</v>
      </c>
      <c r="J41" s="46">
        <f t="shared" si="6"/>
        <v>3.53</v>
      </c>
      <c r="K41" s="46">
        <f t="shared" si="4"/>
        <v>11.58</v>
      </c>
    </row>
    <row r="42" ht="45" customHeight="true" spans="1:11">
      <c r="A42" s="34">
        <v>36</v>
      </c>
      <c r="B42" s="32" t="s">
        <v>46</v>
      </c>
      <c r="C42" s="33">
        <f>IFERROR(VLOOKUP(B42,常规业务透视表!$A$1:$C$53,2,0),0)</f>
        <v>300</v>
      </c>
      <c r="D42" s="33">
        <f>IFERROR(ROUND(VLOOKUP(B42,常规业务透视表!$A$1:$C$53,3,0)/10000,6),0)</f>
        <v>0.595068</v>
      </c>
      <c r="E42" s="33">
        <f>IFERROR(VLOOKUP(B42,常规业务透视表!$E$1:$G$35,2,0),0)</f>
        <v>800</v>
      </c>
      <c r="F42" s="33">
        <f>IFERROR(ROUND(VLOOKUP(B42,常规业务透视表!$E$1:$G$35,3,0)/10000,6),0)</f>
        <v>1.153972</v>
      </c>
      <c r="G42" s="40">
        <f t="shared" si="5"/>
        <v>1.75</v>
      </c>
      <c r="H42" s="33">
        <v>0</v>
      </c>
      <c r="I42" s="33">
        <v>0</v>
      </c>
      <c r="J42" s="46">
        <f t="shared" si="6"/>
        <v>0</v>
      </c>
      <c r="K42" s="46">
        <f t="shared" si="4"/>
        <v>1.75</v>
      </c>
    </row>
    <row r="43" ht="45" customHeight="true" spans="1:11">
      <c r="A43" s="34">
        <v>37</v>
      </c>
      <c r="B43" s="32" t="s">
        <v>47</v>
      </c>
      <c r="C43" s="33">
        <f>IFERROR(VLOOKUP(B43,常规业务透视表!$A$1:$C$53,2,0),0)</f>
        <v>7947.591101</v>
      </c>
      <c r="D43" s="33">
        <f>IFERROR(ROUND(VLOOKUP(B43,常规业务透视表!$A$1:$C$53,3,0)/10000,6),0)</f>
        <v>13.501879</v>
      </c>
      <c r="E43" s="33">
        <f>IFERROR(VLOOKUP(B43,常规业务透视表!$E$1:$G$35,2,0),0)</f>
        <v>3580</v>
      </c>
      <c r="F43" s="33">
        <f>IFERROR(ROUND(VLOOKUP(B43,常规业务透视表!$E$1:$G$35,3,0)/10000,6),0)</f>
        <v>4.617945</v>
      </c>
      <c r="G43" s="40">
        <f t="shared" si="5"/>
        <v>18.12</v>
      </c>
      <c r="H43" s="33">
        <v>0</v>
      </c>
      <c r="I43" s="33">
        <v>0</v>
      </c>
      <c r="J43" s="46">
        <f t="shared" si="6"/>
        <v>0</v>
      </c>
      <c r="K43" s="46">
        <f t="shared" si="4"/>
        <v>18.12</v>
      </c>
    </row>
    <row r="44" ht="45" customHeight="true" spans="1:11">
      <c r="A44" s="34">
        <v>38</v>
      </c>
      <c r="B44" s="32" t="s">
        <v>48</v>
      </c>
      <c r="C44" s="33">
        <f>IFERROR(VLOOKUP(B44,常规业务透视表!$A$1:$C$53,2,0),0)</f>
        <v>4380</v>
      </c>
      <c r="D44" s="33">
        <f>IFERROR(ROUND(VLOOKUP(B44,常规业务透视表!$A$1:$C$53,3,0)/10000,6),0)</f>
        <v>8.751835</v>
      </c>
      <c r="E44" s="33">
        <f>IFERROR(VLOOKUP(B44,常规业务透视表!$E$1:$G$35,2,0),0)</f>
        <v>0</v>
      </c>
      <c r="F44" s="33">
        <f>IFERROR(ROUND(VLOOKUP(B44,常规业务透视表!$E$1:$G$35,3,0)/10000,6),0)</f>
        <v>0</v>
      </c>
      <c r="G44" s="40">
        <f t="shared" si="5"/>
        <v>8.75</v>
      </c>
      <c r="H44" s="33">
        <v>2500</v>
      </c>
      <c r="I44" s="33">
        <v>2.49</v>
      </c>
      <c r="J44" s="46">
        <f t="shared" si="6"/>
        <v>2.49</v>
      </c>
      <c r="K44" s="46">
        <f t="shared" ref="K44:K65" si="7">ROUND(G44+J44,2)</f>
        <v>11.24</v>
      </c>
    </row>
    <row r="45" ht="45" customHeight="true" spans="1:11">
      <c r="A45" s="34">
        <v>39</v>
      </c>
      <c r="B45" s="32" t="s">
        <v>49</v>
      </c>
      <c r="C45" s="33">
        <f>IFERROR(VLOOKUP(B45,常规业务透视表!$A$1:$C$53,2,0),0)</f>
        <v>0</v>
      </c>
      <c r="D45" s="33">
        <f>IFERROR(ROUND(VLOOKUP(B45,常规业务透视表!$A$1:$C$53,3,0)/10000,6),0)</f>
        <v>0</v>
      </c>
      <c r="E45" s="33">
        <f>IFERROR(VLOOKUP(B45,常规业务透视表!$E$1:$G$35,2,0),0)</f>
        <v>0</v>
      </c>
      <c r="F45" s="33">
        <f>IFERROR(ROUND(VLOOKUP(B45,常规业务透视表!$E$1:$G$35,3,0)/10000,6),0)</f>
        <v>0</v>
      </c>
      <c r="G45" s="40">
        <f t="shared" si="5"/>
        <v>0</v>
      </c>
      <c r="H45" s="33">
        <v>0</v>
      </c>
      <c r="I45" s="33">
        <v>0</v>
      </c>
      <c r="J45" s="46">
        <f t="shared" si="6"/>
        <v>0</v>
      </c>
      <c r="K45" s="46">
        <f t="shared" si="7"/>
        <v>0</v>
      </c>
    </row>
    <row r="46" ht="54.95" customHeight="true" spans="1:11">
      <c r="A46" s="34">
        <v>40</v>
      </c>
      <c r="B46" s="32" t="s">
        <v>50</v>
      </c>
      <c r="C46" s="33">
        <f>IFERROR(VLOOKUP(B46,常规业务透视表!$A$1:$C$53,2,0),0)</f>
        <v>13892</v>
      </c>
      <c r="D46" s="33">
        <f>IFERROR(ROUND(VLOOKUP(B46,常规业务透视表!$A$1:$C$53,3,0)/10000,6),0)</f>
        <v>27.603719</v>
      </c>
      <c r="E46" s="33">
        <f>IFERROR(VLOOKUP(B46,常规业务透视表!$E$1:$G$35,2,0),0)</f>
        <v>1000</v>
      </c>
      <c r="F46" s="33">
        <f>IFERROR(ROUND(VLOOKUP(B46,常规业务透视表!$E$1:$G$35,3,0)/10000,6),0)</f>
        <v>1.5</v>
      </c>
      <c r="G46" s="40">
        <f t="shared" si="5"/>
        <v>29.1</v>
      </c>
      <c r="H46" s="33">
        <v>0</v>
      </c>
      <c r="I46" s="33">
        <v>0</v>
      </c>
      <c r="J46" s="46">
        <f t="shared" si="6"/>
        <v>0</v>
      </c>
      <c r="K46" s="46">
        <f t="shared" si="7"/>
        <v>29.1</v>
      </c>
    </row>
    <row r="47" ht="45" customHeight="true" spans="1:11">
      <c r="A47" s="34">
        <v>41</v>
      </c>
      <c r="B47" s="32" t="s">
        <v>51</v>
      </c>
      <c r="C47" s="33">
        <f>IFERROR(VLOOKUP(B47,常规业务透视表!$A$1:$C$53,2,0),0)</f>
        <v>2180</v>
      </c>
      <c r="D47" s="33">
        <f>IFERROR(ROUND(VLOOKUP(B47,常规业务透视表!$A$1:$C$53,3,0)/10000,6),0)</f>
        <v>4.35293</v>
      </c>
      <c r="E47" s="33">
        <f>IFERROR(VLOOKUP(B47,常规业务透视表!$E$1:$G$35,2,0),0)</f>
        <v>990</v>
      </c>
      <c r="F47" s="33">
        <f>IFERROR(ROUND(VLOOKUP(B47,常规业务透视表!$E$1:$G$35,3,0)/10000,6),0)</f>
        <v>1.419904</v>
      </c>
      <c r="G47" s="40">
        <f t="shared" si="5"/>
        <v>5.77</v>
      </c>
      <c r="H47" s="33">
        <v>0</v>
      </c>
      <c r="I47" s="33">
        <v>0</v>
      </c>
      <c r="J47" s="46">
        <f t="shared" si="6"/>
        <v>0</v>
      </c>
      <c r="K47" s="46">
        <f t="shared" si="7"/>
        <v>5.77</v>
      </c>
    </row>
    <row r="48" ht="45" customHeight="true" spans="1:11">
      <c r="A48" s="34">
        <v>42</v>
      </c>
      <c r="B48" s="32" t="s">
        <v>52</v>
      </c>
      <c r="C48" s="33">
        <f>IFERROR(VLOOKUP(B48,常规业务透视表!$A$1:$C$53,2,0),0)</f>
        <v>3280</v>
      </c>
      <c r="D48" s="33">
        <f>IFERROR(ROUND(VLOOKUP(B48,常规业务透视表!$A$1:$C$53,3,0)/10000,6),0)</f>
        <v>6.552712</v>
      </c>
      <c r="E48" s="33">
        <f>IFERROR(VLOOKUP(B48,常规业务透视表!$E$1:$G$35,2,0),0)</f>
        <v>1700</v>
      </c>
      <c r="F48" s="33">
        <f>IFERROR(ROUND(VLOOKUP(B48,常规业务透视表!$E$1:$G$35,3,0)/10000,6),0)</f>
        <v>1.423972</v>
      </c>
      <c r="G48" s="41">
        <f>ROUND(D48+F48,2)-0.01</f>
        <v>7.97</v>
      </c>
      <c r="H48" s="33">
        <v>0</v>
      </c>
      <c r="I48" s="33">
        <v>0</v>
      </c>
      <c r="J48" s="46">
        <f t="shared" si="6"/>
        <v>0</v>
      </c>
      <c r="K48" s="46">
        <f t="shared" si="7"/>
        <v>7.97</v>
      </c>
    </row>
    <row r="49" ht="45" customHeight="true" spans="1:11">
      <c r="A49" s="34">
        <v>43</v>
      </c>
      <c r="B49" s="32" t="s">
        <v>53</v>
      </c>
      <c r="C49" s="33">
        <f>IFERROR(VLOOKUP(B49,常规业务透视表!$A$1:$C$53,2,0),0)</f>
        <v>420</v>
      </c>
      <c r="D49" s="33">
        <f>IFERROR(ROUND(VLOOKUP(B49,常规业务透视表!$A$1:$C$53,3,0)/10000,6),0)</f>
        <v>0.837699</v>
      </c>
      <c r="E49" s="33">
        <f>IFERROR(VLOOKUP(B49,常规业务透视表!$E$1:$G$35,2,0),0)</f>
        <v>820</v>
      </c>
      <c r="F49" s="33">
        <f>IFERROR(ROUND(VLOOKUP(B49,常规业务透视表!$E$1:$G$35,3,0)/10000,6),0)</f>
        <v>0.306657</v>
      </c>
      <c r="G49" s="41">
        <f>ROUND(D49+F49,2)+0.01</f>
        <v>1.15</v>
      </c>
      <c r="H49" s="33">
        <v>0</v>
      </c>
      <c r="I49" s="33">
        <v>0</v>
      </c>
      <c r="J49" s="46">
        <f t="shared" si="6"/>
        <v>0</v>
      </c>
      <c r="K49" s="46">
        <f t="shared" si="7"/>
        <v>1.15</v>
      </c>
    </row>
    <row r="50" ht="45" customHeight="true" spans="1:11">
      <c r="A50" s="34">
        <v>44</v>
      </c>
      <c r="B50" s="32" t="s">
        <v>54</v>
      </c>
      <c r="C50" s="33">
        <f>IFERROR(VLOOKUP(B50,常规业务透视表!$A$1:$C$53,2,0),0)</f>
        <v>6110</v>
      </c>
      <c r="D50" s="33">
        <f>IFERROR(ROUND(VLOOKUP(B50,常规业务透视表!$A$1:$C$53,3,0)/10000,6),0)</f>
        <v>11.683068</v>
      </c>
      <c r="E50" s="33">
        <f>IFERROR(VLOOKUP(B50,常规业务透视表!$E$1:$G$35,2,0),0)</f>
        <v>700</v>
      </c>
      <c r="F50" s="33">
        <f>IFERROR(ROUND(VLOOKUP(B50,常规业务透视表!$E$1:$G$35,3,0)/10000,6),0)</f>
        <v>0.517808</v>
      </c>
      <c r="G50" s="40">
        <f t="shared" si="5"/>
        <v>12.2</v>
      </c>
      <c r="H50" s="33">
        <v>0</v>
      </c>
      <c r="I50" s="33">
        <v>0</v>
      </c>
      <c r="J50" s="46">
        <f t="shared" si="6"/>
        <v>0</v>
      </c>
      <c r="K50" s="46">
        <f t="shared" si="7"/>
        <v>12.2</v>
      </c>
    </row>
    <row r="51" ht="45" customHeight="true" spans="1:11">
      <c r="A51" s="34">
        <v>45</v>
      </c>
      <c r="B51" s="32" t="s">
        <v>55</v>
      </c>
      <c r="C51" s="33">
        <f>IFERROR(VLOOKUP(B51,常规业务透视表!$A$1:$C$53,2,0),0)</f>
        <v>1380</v>
      </c>
      <c r="D51" s="33">
        <f>IFERROR(ROUND(VLOOKUP(B51,常规业务透视表!$A$1:$C$53,3,0)/10000,6),0)</f>
        <v>2.74652</v>
      </c>
      <c r="E51" s="33">
        <f>IFERROR(VLOOKUP(B51,常规业务透视表!$E$1:$G$35,2,0),0)</f>
        <v>900</v>
      </c>
      <c r="F51" s="33">
        <f>IFERROR(ROUND(VLOOKUP(B51,常规业务透视表!$E$1:$G$35,3,0)/10000,6),0)</f>
        <v>1.305617</v>
      </c>
      <c r="G51" s="41">
        <f>ROUND(D51+F51,2)+0.01</f>
        <v>4.06</v>
      </c>
      <c r="H51" s="33">
        <v>0</v>
      </c>
      <c r="I51" s="33">
        <v>0</v>
      </c>
      <c r="J51" s="46">
        <f t="shared" si="6"/>
        <v>0</v>
      </c>
      <c r="K51" s="46">
        <f t="shared" si="7"/>
        <v>4.06</v>
      </c>
    </row>
    <row r="52" ht="45" customHeight="true" spans="1:11">
      <c r="A52" s="34">
        <v>46</v>
      </c>
      <c r="B52" s="32" t="s">
        <v>56</v>
      </c>
      <c r="C52" s="33">
        <f>IFERROR(VLOOKUP(B52,常规业务透视表!$A$1:$C$53,2,0),0)</f>
        <v>4545</v>
      </c>
      <c r="D52" s="33">
        <f>IFERROR(ROUND(VLOOKUP(B52,常规业务透视表!$A$1:$C$53,3,0)/10000,6),0)</f>
        <v>9.075205</v>
      </c>
      <c r="E52" s="33">
        <f>IFERROR(VLOOKUP(B52,常规业务透视表!$E$1:$G$35,2,0),0)</f>
        <v>0</v>
      </c>
      <c r="F52" s="33">
        <f>IFERROR(ROUND(VLOOKUP(B52,常规业务透视表!$E$1:$G$35,3,0)/10000,6),0)</f>
        <v>0</v>
      </c>
      <c r="G52" s="40">
        <f t="shared" si="5"/>
        <v>9.08</v>
      </c>
      <c r="H52" s="33">
        <v>0</v>
      </c>
      <c r="I52" s="33">
        <v>0</v>
      </c>
      <c r="J52" s="46">
        <f t="shared" si="6"/>
        <v>0</v>
      </c>
      <c r="K52" s="46">
        <f t="shared" si="7"/>
        <v>9.08</v>
      </c>
    </row>
    <row r="53" ht="45" customHeight="true" spans="1:11">
      <c r="A53" s="34">
        <v>47</v>
      </c>
      <c r="B53" s="32" t="s">
        <v>57</v>
      </c>
      <c r="C53" s="33">
        <f>IFERROR(VLOOKUP(B53,常规业务透视表!$A$1:$C$53,2,0),0)</f>
        <v>1000</v>
      </c>
      <c r="D53" s="33">
        <f>IFERROR(ROUND(VLOOKUP(B53,常规业务透视表!$A$1:$C$53,3,0)/10000,6),0)</f>
        <v>1.961643</v>
      </c>
      <c r="E53" s="33">
        <f>IFERROR(VLOOKUP(B53,常规业务透视表!$E$1:$G$35,2,0),0)</f>
        <v>0</v>
      </c>
      <c r="F53" s="33">
        <f>IFERROR(ROUND(VLOOKUP(B53,常规业务透视表!$E$1:$G$35,3,0)/10000,6),0)</f>
        <v>0</v>
      </c>
      <c r="G53" s="40">
        <f t="shared" si="5"/>
        <v>1.96</v>
      </c>
      <c r="H53" s="33">
        <v>0</v>
      </c>
      <c r="I53" s="33">
        <v>0</v>
      </c>
      <c r="J53" s="46">
        <f t="shared" si="6"/>
        <v>0</v>
      </c>
      <c r="K53" s="46">
        <f t="shared" si="7"/>
        <v>1.96</v>
      </c>
    </row>
    <row r="54" ht="45" customHeight="true" spans="1:11">
      <c r="A54" s="34">
        <v>48</v>
      </c>
      <c r="B54" s="32" t="s">
        <v>58</v>
      </c>
      <c r="C54" s="33">
        <f>IFERROR(VLOOKUP(B54,常规业务透视表!$A$1:$C$53,2,0),0)</f>
        <v>0</v>
      </c>
      <c r="D54" s="33">
        <f>IFERROR(ROUND(VLOOKUP(B54,常规业务透视表!$A$1:$C$53,3,0)/10000,6),0)</f>
        <v>0</v>
      </c>
      <c r="E54" s="33">
        <f>IFERROR(VLOOKUP(B54,常规业务透视表!$E$1:$G$35,2,0),0)</f>
        <v>0</v>
      </c>
      <c r="F54" s="33">
        <f>IFERROR(ROUND(VLOOKUP(B54,常规业务透视表!$E$1:$G$35,3,0)/10000,6),0)</f>
        <v>0</v>
      </c>
      <c r="G54" s="40">
        <f t="shared" si="5"/>
        <v>0</v>
      </c>
      <c r="H54" s="33">
        <v>0</v>
      </c>
      <c r="I54" s="33">
        <v>0</v>
      </c>
      <c r="J54" s="46">
        <f t="shared" si="6"/>
        <v>0</v>
      </c>
      <c r="K54" s="46">
        <f t="shared" si="7"/>
        <v>0</v>
      </c>
    </row>
    <row r="55" ht="45" customHeight="true" spans="1:11">
      <c r="A55" s="34">
        <v>49</v>
      </c>
      <c r="B55" s="32" t="s">
        <v>59</v>
      </c>
      <c r="C55" s="33">
        <f>IFERROR(VLOOKUP(B55,常规业务透视表!$A$1:$C$53,2,0),0)</f>
        <v>0</v>
      </c>
      <c r="D55" s="33">
        <f>IFERROR(ROUND(VLOOKUP(B55,常规业务透视表!$A$1:$C$53,3,0)/10000,6),0)</f>
        <v>0</v>
      </c>
      <c r="E55" s="33">
        <f>IFERROR(VLOOKUP(B55,常规业务透视表!$E$1:$G$35,2,0),0)</f>
        <v>0</v>
      </c>
      <c r="F55" s="33">
        <f>IFERROR(ROUND(VLOOKUP(B55,常规业务透视表!$E$1:$G$35,3,0)/10000,6),0)</f>
        <v>0</v>
      </c>
      <c r="G55" s="40">
        <f t="shared" si="5"/>
        <v>0</v>
      </c>
      <c r="H55" s="33">
        <v>0</v>
      </c>
      <c r="I55" s="33">
        <v>0</v>
      </c>
      <c r="J55" s="46">
        <f t="shared" si="6"/>
        <v>0</v>
      </c>
      <c r="K55" s="46">
        <f t="shared" si="7"/>
        <v>0</v>
      </c>
    </row>
    <row r="56" ht="45" customHeight="true" spans="1:11">
      <c r="A56" s="34">
        <v>50</v>
      </c>
      <c r="B56" s="32" t="s">
        <v>60</v>
      </c>
      <c r="C56" s="33">
        <f>IFERROR(VLOOKUP(B56,常规业务透视表!$A$1:$C$53,2,0),0)</f>
        <v>15298.57874</v>
      </c>
      <c r="D56" s="33">
        <f>IFERROR(ROUND(VLOOKUP(B56,常规业务透视表!$A$1:$C$53,3,0)/10000,6),0)</f>
        <v>30.588801</v>
      </c>
      <c r="E56" s="33">
        <f>IFERROR(VLOOKUP(B56,常规业务透视表!$E$1:$G$35,2,0),0)</f>
        <v>0</v>
      </c>
      <c r="F56" s="33">
        <f>IFERROR(ROUND(VLOOKUP(B56,常规业务透视表!$E$1:$G$35,3,0)/10000,6),0)</f>
        <v>0</v>
      </c>
      <c r="G56" s="40">
        <f t="shared" si="5"/>
        <v>30.59</v>
      </c>
      <c r="H56" s="33">
        <v>0</v>
      </c>
      <c r="I56" s="33">
        <v>0</v>
      </c>
      <c r="J56" s="46">
        <f t="shared" si="6"/>
        <v>0</v>
      </c>
      <c r="K56" s="46">
        <f t="shared" si="7"/>
        <v>30.59</v>
      </c>
    </row>
    <row r="57" ht="45" customHeight="true" spans="1:11">
      <c r="A57" s="34">
        <v>51</v>
      </c>
      <c r="B57" s="32" t="s">
        <v>61</v>
      </c>
      <c r="C57" s="33">
        <f>IFERROR(VLOOKUP(B57,常规业务透视表!$A$1:$C$53,2,0),0)</f>
        <v>1850</v>
      </c>
      <c r="D57" s="33">
        <f>IFERROR(ROUND(VLOOKUP(B57,常规业务透视表!$A$1:$C$53,3,0)/10000,6),0)</f>
        <v>3.192164</v>
      </c>
      <c r="E57" s="33">
        <f>IFERROR(VLOOKUP(B57,常规业务透视表!$E$1:$G$35,2,0),0)</f>
        <v>0</v>
      </c>
      <c r="F57" s="33">
        <f>IFERROR(ROUND(VLOOKUP(B57,常规业务透视表!$E$1:$G$35,3,0)/10000,6),0)</f>
        <v>0</v>
      </c>
      <c r="G57" s="40">
        <f t="shared" si="5"/>
        <v>3.19</v>
      </c>
      <c r="H57" s="33">
        <v>0</v>
      </c>
      <c r="I57" s="33">
        <v>0</v>
      </c>
      <c r="J57" s="46">
        <f t="shared" si="6"/>
        <v>0</v>
      </c>
      <c r="K57" s="46">
        <f t="shared" si="7"/>
        <v>3.19</v>
      </c>
    </row>
    <row r="58" ht="45" customHeight="true" spans="1:11">
      <c r="A58" s="34">
        <v>52</v>
      </c>
      <c r="B58" s="32" t="s">
        <v>62</v>
      </c>
      <c r="C58" s="33">
        <f>IFERROR(VLOOKUP(B58,常规业务透视表!$A$1:$C$53,2,0),0)</f>
        <v>1120</v>
      </c>
      <c r="D58" s="33">
        <f>IFERROR(ROUND(VLOOKUP(B58,常规业务透视表!$A$1:$C$53,3,0)/10000,6),0)</f>
        <v>1.661151</v>
      </c>
      <c r="E58" s="33">
        <f>IFERROR(VLOOKUP(B58,常规业务透视表!$E$1:$G$35,2,0),0)</f>
        <v>0</v>
      </c>
      <c r="F58" s="33">
        <f>IFERROR(ROUND(VLOOKUP(B58,常规业务透视表!$E$1:$G$35,3,0)/10000,6),0)</f>
        <v>0</v>
      </c>
      <c r="G58" s="40">
        <f t="shared" si="5"/>
        <v>1.66</v>
      </c>
      <c r="H58" s="33">
        <v>0</v>
      </c>
      <c r="I58" s="33">
        <v>0</v>
      </c>
      <c r="J58" s="46">
        <f t="shared" si="6"/>
        <v>0</v>
      </c>
      <c r="K58" s="46">
        <f t="shared" si="7"/>
        <v>1.66</v>
      </c>
    </row>
    <row r="59" ht="45" customHeight="true" spans="1:11">
      <c r="A59" s="34">
        <v>53</v>
      </c>
      <c r="B59" s="32" t="s">
        <v>63</v>
      </c>
      <c r="C59" s="33">
        <f>IFERROR(VLOOKUP(B59,常规业务透视表!$A$1:$C$53,2,0),0)</f>
        <v>500</v>
      </c>
      <c r="D59" s="33">
        <f>IFERROR(ROUND(VLOOKUP(B59,常规业务透视表!$A$1:$C$53,3,0)/10000,6),0)</f>
        <v>0.99726</v>
      </c>
      <c r="E59" s="33">
        <f>IFERROR(VLOOKUP(B59,常规业务透视表!$E$1:$G$35,2,0),0)</f>
        <v>0</v>
      </c>
      <c r="F59" s="33">
        <f>IFERROR(ROUND(VLOOKUP(B59,常规业务透视表!$E$1:$G$35,3,0)/10000,6),0)</f>
        <v>0</v>
      </c>
      <c r="G59" s="40">
        <f t="shared" si="5"/>
        <v>1</v>
      </c>
      <c r="H59" s="33">
        <v>0</v>
      </c>
      <c r="I59" s="33">
        <v>0</v>
      </c>
      <c r="J59" s="46">
        <f t="shared" si="6"/>
        <v>0</v>
      </c>
      <c r="K59" s="46">
        <f t="shared" si="7"/>
        <v>1</v>
      </c>
    </row>
    <row r="60" ht="45" customHeight="true" spans="1:11">
      <c r="A60" s="34">
        <v>54</v>
      </c>
      <c r="B60" s="32" t="s">
        <v>64</v>
      </c>
      <c r="C60" s="33">
        <f>IFERROR(VLOOKUP(B60,常规业务透视表!$A$1:$C$53,2,0),0)</f>
        <v>4520</v>
      </c>
      <c r="D60" s="33">
        <f>IFERROR(ROUND(VLOOKUP(B60,常规业务透视表!$A$1:$C$53,3,0)/10000,6),0)</f>
        <v>8.151617</v>
      </c>
      <c r="E60" s="33">
        <f>IFERROR(VLOOKUP(B60,常规业务透视表!$E$1:$G$35,2,0),0)</f>
        <v>0</v>
      </c>
      <c r="F60" s="33">
        <f>IFERROR(ROUND(VLOOKUP(B60,常规业务透视表!$E$1:$G$35,3,0)/10000,6),0)</f>
        <v>0</v>
      </c>
      <c r="G60" s="40">
        <f t="shared" si="5"/>
        <v>8.15</v>
      </c>
      <c r="H60" s="33">
        <v>0</v>
      </c>
      <c r="I60" s="33">
        <v>0</v>
      </c>
      <c r="J60" s="46">
        <f t="shared" si="6"/>
        <v>0</v>
      </c>
      <c r="K60" s="46">
        <f t="shared" si="7"/>
        <v>8.15</v>
      </c>
    </row>
    <row r="61" ht="45" customHeight="true" spans="1:11">
      <c r="A61" s="34">
        <v>55</v>
      </c>
      <c r="B61" s="32" t="s">
        <v>65</v>
      </c>
      <c r="C61" s="33">
        <f>IFERROR(VLOOKUP(B61,常规业务透视表!$A$1:$C$53,2,0),0)</f>
        <v>0</v>
      </c>
      <c r="D61" s="33">
        <f>IFERROR(ROUND(VLOOKUP(B61,常规业务透视表!$A$1:$C$53,3,0)/10000,6),0)</f>
        <v>0</v>
      </c>
      <c r="E61" s="33">
        <f>IFERROR(VLOOKUP(B61,常规业务透视表!$E$1:$G$35,2,0),0)</f>
        <v>0</v>
      </c>
      <c r="F61" s="33">
        <f>IFERROR(ROUND(VLOOKUP(B61,常规业务透视表!$E$1:$G$35,3,0)/10000,6),0)</f>
        <v>0</v>
      </c>
      <c r="G61" s="40">
        <f t="shared" si="5"/>
        <v>0</v>
      </c>
      <c r="H61" s="33">
        <v>0</v>
      </c>
      <c r="I61" s="33">
        <v>0</v>
      </c>
      <c r="J61" s="46">
        <f t="shared" si="6"/>
        <v>0</v>
      </c>
      <c r="K61" s="46">
        <f t="shared" si="7"/>
        <v>0</v>
      </c>
    </row>
    <row r="62" ht="45" customHeight="true" spans="1:11">
      <c r="A62" s="34">
        <v>56</v>
      </c>
      <c r="B62" s="32" t="s">
        <v>66</v>
      </c>
      <c r="C62" s="33">
        <f>IFERROR(VLOOKUP(B62,常规业务透视表!$A$1:$C$53,2,0),0)</f>
        <v>17424</v>
      </c>
      <c r="D62" s="33">
        <f>IFERROR(ROUND(VLOOKUP(B62,常规业务透视表!$A$1:$C$53,3,0)/10000,6),0)</f>
        <v>34.848</v>
      </c>
      <c r="E62" s="33">
        <f>IFERROR(VLOOKUP(B62,常规业务透视表!$E$1:$G$35,2,0),0)</f>
        <v>0</v>
      </c>
      <c r="F62" s="33">
        <f>IFERROR(ROUND(VLOOKUP(B62,常规业务透视表!$E$1:$G$35,3,0)/10000,6),0)</f>
        <v>0</v>
      </c>
      <c r="G62" s="40">
        <f t="shared" si="5"/>
        <v>34.85</v>
      </c>
      <c r="H62" s="33">
        <v>0</v>
      </c>
      <c r="I62" s="33">
        <v>0</v>
      </c>
      <c r="J62" s="46">
        <f t="shared" si="6"/>
        <v>0</v>
      </c>
      <c r="K62" s="46">
        <f t="shared" si="7"/>
        <v>34.85</v>
      </c>
    </row>
    <row r="63" ht="45" customHeight="true" spans="1:11">
      <c r="A63" s="34">
        <v>57</v>
      </c>
      <c r="B63" s="32" t="s">
        <v>67</v>
      </c>
      <c r="C63" s="33">
        <f>IFERROR(VLOOKUP(B63,常规业务透视表!$A$1:$C$53,2,0),0)</f>
        <v>3247.988</v>
      </c>
      <c r="D63" s="33">
        <f>IFERROR(ROUND(VLOOKUP(B63,常规业务透视表!$A$1:$C$53,3,0)/10000,6),0)</f>
        <v>6.400124</v>
      </c>
      <c r="E63" s="33">
        <f>IFERROR(VLOOKUP(B63,常规业务透视表!$E$1:$G$35,2,0),0)</f>
        <v>0</v>
      </c>
      <c r="F63" s="33">
        <f>IFERROR(ROUND(VLOOKUP(B63,常规业务透视表!$E$1:$G$35,3,0)/10000,6),0)</f>
        <v>0</v>
      </c>
      <c r="G63" s="40">
        <f t="shared" si="5"/>
        <v>6.4</v>
      </c>
      <c r="H63" s="33">
        <v>0</v>
      </c>
      <c r="I63" s="33">
        <v>0</v>
      </c>
      <c r="J63" s="46">
        <f t="shared" si="6"/>
        <v>0</v>
      </c>
      <c r="K63" s="46">
        <f t="shared" si="7"/>
        <v>6.4</v>
      </c>
    </row>
    <row r="64" ht="42.95" customHeight="true" spans="1:11">
      <c r="A64" s="34">
        <v>58</v>
      </c>
      <c r="B64" s="32" t="s">
        <v>75</v>
      </c>
      <c r="C64" s="33">
        <f>IFERROR(VLOOKUP(B64,常规业务透视表!$A$1:$C$53,2,0),0)</f>
        <v>500</v>
      </c>
      <c r="D64" s="33">
        <f>IFERROR(ROUND(VLOOKUP(B64,常规业务透视表!$A$1:$C$53,3,0)/10000,6),0)</f>
        <v>0.958904</v>
      </c>
      <c r="E64" s="33">
        <f>IFERROR(VLOOKUP(B64,常规业务透视表!$E$1:$G$35,2,0),0)</f>
        <v>0</v>
      </c>
      <c r="F64" s="33">
        <f>IFERROR(ROUND(VLOOKUP(B64,常规业务透视表!$E$1:$G$35,3,0)/10000,6),0)</f>
        <v>0</v>
      </c>
      <c r="G64" s="40">
        <f t="shared" si="5"/>
        <v>0.96</v>
      </c>
      <c r="H64" s="33">
        <v>0</v>
      </c>
      <c r="I64" s="33">
        <v>0</v>
      </c>
      <c r="J64" s="46">
        <f t="shared" si="6"/>
        <v>0</v>
      </c>
      <c r="K64" s="46">
        <f t="shared" si="7"/>
        <v>0.96</v>
      </c>
    </row>
    <row r="65" ht="42.95" customHeight="true" spans="1:11">
      <c r="A65" s="34">
        <v>59</v>
      </c>
      <c r="B65" s="32" t="s">
        <v>84</v>
      </c>
      <c r="C65" s="47" t="e">
        <f>SUM(#REF!)</f>
        <v>#REF!</v>
      </c>
      <c r="D65" s="47" t="e">
        <f>ROUND(SUM(#REF!)/10^4,2)</f>
        <v>#REF!</v>
      </c>
      <c r="E65" s="47" t="e">
        <f>SUM(#REF!)</f>
        <v>#REF!</v>
      </c>
      <c r="F65" s="47" t="e">
        <f>ROUND(SUM(#REF!)/10^4,2)</f>
        <v>#REF!</v>
      </c>
      <c r="G65" s="41" t="e">
        <f>ROUND(D65+F65,2)+0.01</f>
        <v>#REF!</v>
      </c>
      <c r="H65" s="33">
        <v>0</v>
      </c>
      <c r="I65" s="33">
        <v>0</v>
      </c>
      <c r="J65" s="46">
        <f t="shared" si="6"/>
        <v>0</v>
      </c>
      <c r="K65" s="46" t="e">
        <f t="shared" si="7"/>
        <v>#REF!</v>
      </c>
    </row>
    <row r="66" ht="42.95" customHeight="true" spans="1:11">
      <c r="A66" s="48" t="s">
        <v>68</v>
      </c>
      <c r="B66" s="49"/>
      <c r="C66" s="40" t="e">
        <f>SUM(C5:C9,C12:C65)</f>
        <v>#REF!</v>
      </c>
      <c r="D66" s="41" t="e">
        <f>SUM(D5:D9,D12:D65)-0.01</f>
        <v>#REF!</v>
      </c>
      <c r="E66" s="40" t="e">
        <f t="shared" ref="E66" si="8">SUM(E5:E9,E12:E65)</f>
        <v>#REF!</v>
      </c>
      <c r="F66" s="41" t="e">
        <f>SUM(F5:F9,F12:F65)+0.02</f>
        <v>#REF!</v>
      </c>
      <c r="G66" s="40" t="e">
        <f>SUM(G5:G9,G12:G65)</f>
        <v>#REF!</v>
      </c>
      <c r="H66" s="40">
        <f>SUM(H5:H65)</f>
        <v>29914</v>
      </c>
      <c r="I66" s="40">
        <f>SUM(I5:I65)</f>
        <v>28.8</v>
      </c>
      <c r="J66" s="46">
        <f>SUM(J5:J65)</f>
        <v>28.8</v>
      </c>
      <c r="K66" s="46" t="e">
        <f>SUM(K5:K65)</f>
        <v>#REF!</v>
      </c>
    </row>
    <row r="67" spans="3:11">
      <c r="C67" s="27"/>
      <c r="D67" s="27"/>
      <c r="E67" s="27"/>
      <c r="F67" s="27"/>
      <c r="G67" s="27"/>
      <c r="H67" s="27"/>
      <c r="I67" s="27"/>
      <c r="J67" s="27"/>
      <c r="K67" s="27"/>
    </row>
    <row r="68" ht="22.5" spans="1:11">
      <c r="A68" s="50" t="s">
        <v>85</v>
      </c>
      <c r="B68" s="51"/>
      <c r="C68" s="51"/>
      <c r="D68" s="27"/>
      <c r="E68" s="27"/>
      <c r="F68" s="27"/>
      <c r="G68" s="27"/>
      <c r="H68" s="27"/>
      <c r="I68" s="27"/>
      <c r="J68" s="27"/>
      <c r="K68" s="27"/>
    </row>
    <row r="69" ht="22.5" spans="1:11">
      <c r="A69" s="50">
        <v>1</v>
      </c>
      <c r="B69" s="51" t="s">
        <v>86</v>
      </c>
      <c r="C69" s="51"/>
      <c r="D69" s="27"/>
      <c r="E69" s="27"/>
      <c r="F69" s="27"/>
      <c r="G69" s="27"/>
      <c r="H69" s="27"/>
      <c r="I69" s="27"/>
      <c r="J69" s="27"/>
      <c r="K69" s="27"/>
    </row>
    <row r="70" ht="22.5" spans="1:11">
      <c r="A70" s="50">
        <v>2</v>
      </c>
      <c r="B70" s="51" t="s">
        <v>87</v>
      </c>
      <c r="C70" s="51"/>
      <c r="D70" s="27"/>
      <c r="E70" s="27"/>
      <c r="F70" s="27"/>
      <c r="G70" s="27"/>
      <c r="H70" s="27"/>
      <c r="I70" s="27"/>
      <c r="J70" s="27"/>
      <c r="K70" s="27"/>
    </row>
    <row r="71" ht="22.5" spans="1:11">
      <c r="A71" s="50">
        <v>3</v>
      </c>
      <c r="B71" s="51" t="s">
        <v>88</v>
      </c>
      <c r="C71" s="51"/>
      <c r="D71" s="27"/>
      <c r="E71" s="27"/>
      <c r="F71" s="27"/>
      <c r="G71" s="27"/>
      <c r="H71" s="27"/>
      <c r="I71" s="27"/>
      <c r="J71" s="27"/>
      <c r="K71" s="27"/>
    </row>
    <row r="72" ht="22.5" spans="1:11">
      <c r="A72" s="50"/>
      <c r="B72" s="51"/>
      <c r="C72" s="51"/>
      <c r="D72" s="27"/>
      <c r="E72" s="27"/>
      <c r="F72" s="27"/>
      <c r="G72" s="27"/>
      <c r="H72" s="27"/>
      <c r="I72" s="27"/>
      <c r="J72" s="27"/>
      <c r="K72" s="27"/>
    </row>
    <row r="73" ht="18.75" spans="1:11">
      <c r="A73" s="52"/>
      <c r="B73" s="53"/>
      <c r="C73" s="27"/>
      <c r="D73" s="27"/>
      <c r="E73" s="27"/>
      <c r="F73" s="27"/>
      <c r="G73" s="27"/>
      <c r="H73" s="27"/>
      <c r="I73" s="27"/>
      <c r="J73" s="27"/>
      <c r="K73" s="27"/>
    </row>
    <row r="74" ht="18.75" spans="1:11">
      <c r="A74" s="54"/>
      <c r="B74" s="53"/>
      <c r="C74" s="27"/>
      <c r="D74" s="27"/>
      <c r="E74" s="27"/>
      <c r="F74" s="27"/>
      <c r="G74" s="27"/>
      <c r="H74" s="27"/>
      <c r="I74" s="27"/>
      <c r="J74" s="27"/>
      <c r="K74" s="27"/>
    </row>
    <row r="75" spans="3:11">
      <c r="C75" s="27"/>
      <c r="D75" s="27"/>
      <c r="E75" s="27"/>
      <c r="F75" s="27"/>
      <c r="G75" s="27"/>
      <c r="H75" s="27"/>
      <c r="I75" s="27"/>
      <c r="J75" s="27"/>
      <c r="K75" s="27"/>
    </row>
    <row r="76" spans="3:11">
      <c r="C76" s="27"/>
      <c r="D76" s="27"/>
      <c r="E76" s="27"/>
      <c r="F76" s="27"/>
      <c r="G76" s="27"/>
      <c r="H76" s="27"/>
      <c r="I76" s="27"/>
      <c r="J76" s="27"/>
      <c r="K76" s="27"/>
    </row>
    <row r="77" spans="3:11">
      <c r="C77" s="27"/>
      <c r="D77" s="27"/>
      <c r="E77" s="27"/>
      <c r="F77" s="27"/>
      <c r="G77" s="27"/>
      <c r="H77" s="27"/>
      <c r="I77" s="27"/>
      <c r="J77" s="27"/>
      <c r="K77" s="27"/>
    </row>
    <row r="78" spans="3:11">
      <c r="C78" s="27"/>
      <c r="D78" s="27"/>
      <c r="E78" s="27"/>
      <c r="F78" s="27"/>
      <c r="G78" s="27"/>
      <c r="H78" s="27"/>
      <c r="I78" s="27"/>
      <c r="J78" s="27"/>
      <c r="K78" s="27"/>
    </row>
    <row r="79" spans="3:11">
      <c r="C79" s="27"/>
      <c r="D79" s="27"/>
      <c r="E79" s="27"/>
      <c r="F79" s="27"/>
      <c r="G79" s="27"/>
      <c r="H79" s="27"/>
      <c r="I79" s="27"/>
      <c r="J79" s="27"/>
      <c r="K79" s="27"/>
    </row>
    <row r="80" spans="3:11">
      <c r="C80" s="27"/>
      <c r="D80" s="27"/>
      <c r="E80" s="27"/>
      <c r="F80" s="27"/>
      <c r="G80" s="27"/>
      <c r="H80" s="27"/>
      <c r="I80" s="27"/>
      <c r="J80" s="27"/>
      <c r="K80" s="27"/>
    </row>
    <row r="81" spans="3:11">
      <c r="C81" s="27"/>
      <c r="D81" s="27"/>
      <c r="E81" s="27"/>
      <c r="F81" s="27"/>
      <c r="G81" s="27"/>
      <c r="H81" s="27"/>
      <c r="I81" s="27"/>
      <c r="J81" s="27"/>
      <c r="K81" s="27"/>
    </row>
    <row r="82" spans="3:11">
      <c r="C82" s="27"/>
      <c r="D82" s="27"/>
      <c r="E82" s="27"/>
      <c r="F82" s="27"/>
      <c r="G82" s="27"/>
      <c r="H82" s="27"/>
      <c r="I82" s="27"/>
      <c r="J82" s="27"/>
      <c r="K82" s="27"/>
    </row>
    <row r="83" spans="3:11">
      <c r="C83" s="27"/>
      <c r="D83" s="27"/>
      <c r="E83" s="27"/>
      <c r="F83" s="27"/>
      <c r="G83" s="27"/>
      <c r="H83" s="27"/>
      <c r="I83" s="27"/>
      <c r="J83" s="27"/>
      <c r="K83" s="27"/>
    </row>
    <row r="84" spans="3:11">
      <c r="C84" s="27"/>
      <c r="D84" s="27"/>
      <c r="E84" s="27"/>
      <c r="F84" s="27"/>
      <c r="G84" s="27"/>
      <c r="H84" s="27"/>
      <c r="I84" s="27"/>
      <c r="J84" s="27"/>
      <c r="K84" s="27"/>
    </row>
    <row r="85" spans="3:11">
      <c r="C85" s="27"/>
      <c r="D85" s="27"/>
      <c r="E85" s="27"/>
      <c r="F85" s="27"/>
      <c r="G85" s="27"/>
      <c r="H85" s="27"/>
      <c r="I85" s="27"/>
      <c r="J85" s="27"/>
      <c r="K85" s="27"/>
    </row>
    <row r="86" spans="3:11">
      <c r="C86" s="27"/>
      <c r="D86" s="27"/>
      <c r="E86" s="27"/>
      <c r="F86" s="27"/>
      <c r="G86" s="27"/>
      <c r="H86" s="27"/>
      <c r="I86" s="27"/>
      <c r="J86" s="27"/>
      <c r="K86" s="27"/>
    </row>
    <row r="87" spans="3:11">
      <c r="C87" s="27"/>
      <c r="D87" s="27"/>
      <c r="E87" s="27"/>
      <c r="F87" s="27"/>
      <c r="G87" s="27"/>
      <c r="H87" s="27"/>
      <c r="I87" s="27"/>
      <c r="J87" s="27"/>
      <c r="K87" s="27"/>
    </row>
    <row r="88" spans="3:11">
      <c r="C88" s="27"/>
      <c r="D88" s="27"/>
      <c r="E88" s="27"/>
      <c r="F88" s="27"/>
      <c r="G88" s="27"/>
      <c r="H88" s="27"/>
      <c r="I88" s="27"/>
      <c r="J88" s="27"/>
      <c r="K88" s="27"/>
    </row>
    <row r="89" spans="3:11">
      <c r="C89" s="27"/>
      <c r="D89" s="27"/>
      <c r="E89" s="27"/>
      <c r="F89" s="27"/>
      <c r="G89" s="27"/>
      <c r="H89" s="27"/>
      <c r="I89" s="27"/>
      <c r="J89" s="27"/>
      <c r="K89" s="27"/>
    </row>
    <row r="90" spans="3:11">
      <c r="C90" s="27"/>
      <c r="D90" s="27"/>
      <c r="E90" s="27"/>
      <c r="F90" s="27"/>
      <c r="G90" s="27"/>
      <c r="H90" s="27"/>
      <c r="I90" s="27"/>
      <c r="J90" s="27"/>
      <c r="K90" s="27"/>
    </row>
    <row r="91" spans="3:11">
      <c r="C91" s="27"/>
      <c r="D91" s="27"/>
      <c r="E91" s="27"/>
      <c r="F91" s="27"/>
      <c r="G91" s="27"/>
      <c r="H91" s="27"/>
      <c r="I91" s="27"/>
      <c r="J91" s="27"/>
      <c r="K91" s="27"/>
    </row>
    <row r="92" spans="3:11">
      <c r="C92" s="27"/>
      <c r="D92" s="27"/>
      <c r="E92" s="27"/>
      <c r="F92" s="27"/>
      <c r="G92" s="27"/>
      <c r="H92" s="27"/>
      <c r="I92" s="27"/>
      <c r="J92" s="27"/>
      <c r="K92" s="27"/>
    </row>
    <row r="93" spans="3:11">
      <c r="C93" s="27"/>
      <c r="D93" s="27"/>
      <c r="E93" s="27"/>
      <c r="F93" s="27"/>
      <c r="G93" s="27"/>
      <c r="H93" s="27"/>
      <c r="I93" s="27"/>
      <c r="J93" s="27"/>
      <c r="K93" s="27"/>
    </row>
    <row r="94" spans="3:11">
      <c r="C94" s="27"/>
      <c r="D94" s="27"/>
      <c r="E94" s="27"/>
      <c r="F94" s="27"/>
      <c r="G94" s="27"/>
      <c r="H94" s="27"/>
      <c r="I94" s="27"/>
      <c r="J94" s="27"/>
      <c r="K94" s="27"/>
    </row>
    <row r="95" spans="3:11">
      <c r="C95" s="27"/>
      <c r="D95" s="27"/>
      <c r="E95" s="27"/>
      <c r="F95" s="27"/>
      <c r="G95" s="27"/>
      <c r="H95" s="27"/>
      <c r="I95" s="27"/>
      <c r="J95" s="27"/>
      <c r="K95" s="27"/>
    </row>
  </sheetData>
  <autoFilter ref="A4:K66">
    <extLst/>
  </autoFilter>
  <mergeCells count="7">
    <mergeCell ref="A2:K2"/>
    <mergeCell ref="C3:G3"/>
    <mergeCell ref="H3:J3"/>
    <mergeCell ref="A66:B66"/>
    <mergeCell ref="A3:A4"/>
    <mergeCell ref="B3:B4"/>
    <mergeCell ref="K3:K4"/>
  </mergeCells>
  <pageMargins left="0.354166666666667" right="0.236111111111111" top="0.472222222222222" bottom="0.196527777777778" header="0.511805555555556" footer="0.511805555555556"/>
  <pageSetup paperSize="9" scale="4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2"/>
  <sheetViews>
    <sheetView tabSelected="1" view="pageBreakPreview" zoomScale="55" zoomScaleNormal="55" zoomScaleSheetLayoutView="55" workbookViewId="0">
      <selection activeCell="A2" sqref="A2:K2"/>
    </sheetView>
  </sheetViews>
  <sheetFormatPr defaultColWidth="9" defaultRowHeight="13.5"/>
  <cols>
    <col min="1" max="1" width="9" style="3" customWidth="true"/>
    <col min="2" max="2" width="60" style="3" customWidth="true"/>
    <col min="3" max="3" width="28.5916666666667" style="4" customWidth="true"/>
    <col min="4" max="4" width="24.9583333333333" style="4" customWidth="true"/>
    <col min="5" max="5" width="24.7666666666667" style="4" customWidth="true"/>
    <col min="6" max="6" width="21.4166666666667" style="4" customWidth="true"/>
    <col min="7" max="7" width="27.9583333333333" style="4" customWidth="true"/>
    <col min="8" max="8" width="24.9583333333333" style="4" customWidth="true"/>
    <col min="9" max="9" width="24.625" style="4" customWidth="true"/>
    <col min="10" max="10" width="20.6416666666667" style="4" customWidth="true"/>
    <col min="11" max="11" width="24.9583333333333" style="2" customWidth="true"/>
    <col min="12" max="12" width="28.625" style="3" customWidth="true"/>
    <col min="13" max="13" width="14.3833333333333" style="3"/>
    <col min="14" max="15" width="13.125" style="3"/>
    <col min="16" max="16" width="9" style="3"/>
    <col min="17" max="17" width="19.625" style="3" customWidth="true"/>
    <col min="18" max="18" width="11.7583333333333" style="3"/>
    <col min="19" max="16384" width="9" style="3"/>
  </cols>
  <sheetData>
    <row r="1" ht="40" customHeight="true" spans="1:11">
      <c r="A1" s="5" t="s">
        <v>89</v>
      </c>
      <c r="B1" s="6"/>
      <c r="C1" s="7"/>
      <c r="D1" s="7"/>
      <c r="E1" s="7"/>
      <c r="F1" s="7"/>
      <c r="G1" s="7"/>
      <c r="H1" s="7"/>
      <c r="I1" s="7"/>
      <c r="J1" s="7"/>
      <c r="K1" s="23"/>
    </row>
    <row r="2" s="1" customFormat="true" ht="55" customHeight="true" spans="1:11">
      <c r="A2" s="8" t="s">
        <v>90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true" ht="55" customHeight="true" spans="1:11">
      <c r="A3" s="9"/>
      <c r="B3" s="10"/>
      <c r="C3" s="10"/>
      <c r="D3" s="10"/>
      <c r="E3" s="10"/>
      <c r="F3" s="10"/>
      <c r="G3" s="21"/>
      <c r="H3" s="10"/>
      <c r="I3" s="10"/>
      <c r="J3" s="10"/>
      <c r="K3" s="24" t="s">
        <v>91</v>
      </c>
    </row>
    <row r="4" ht="39" customHeight="true" spans="1:11">
      <c r="A4" s="11" t="s">
        <v>1</v>
      </c>
      <c r="B4" s="11" t="s">
        <v>92</v>
      </c>
      <c r="C4" s="12" t="s">
        <v>93</v>
      </c>
      <c r="D4" s="12"/>
      <c r="E4" s="12"/>
      <c r="F4" s="12"/>
      <c r="G4" s="12" t="s">
        <v>94</v>
      </c>
      <c r="H4" s="12"/>
      <c r="I4" s="12"/>
      <c r="J4" s="12"/>
      <c r="K4" s="25" t="s">
        <v>95</v>
      </c>
    </row>
    <row r="5" ht="80" customHeight="true" spans="1:11">
      <c r="A5" s="13"/>
      <c r="B5" s="13"/>
      <c r="C5" s="14" t="s">
        <v>96</v>
      </c>
      <c r="D5" s="14" t="s">
        <v>97</v>
      </c>
      <c r="E5" s="14" t="s">
        <v>98</v>
      </c>
      <c r="F5" s="14" t="s">
        <v>99</v>
      </c>
      <c r="G5" s="14" t="s">
        <v>96</v>
      </c>
      <c r="H5" s="14" t="s">
        <v>97</v>
      </c>
      <c r="I5" s="14" t="s">
        <v>98</v>
      </c>
      <c r="J5" s="14" t="s">
        <v>99</v>
      </c>
      <c r="K5" s="26"/>
    </row>
    <row r="6" ht="22.5" spans="1:11">
      <c r="A6" s="15">
        <v>1</v>
      </c>
      <c r="B6" s="16" t="s">
        <v>63</v>
      </c>
      <c r="C6" s="17">
        <v>3832.5</v>
      </c>
      <c r="D6" s="17">
        <v>2.94</v>
      </c>
      <c r="E6" s="17">
        <f t="shared" ref="E6:E61" si="0">D6-F6</f>
        <v>2.94</v>
      </c>
      <c r="F6" s="17">
        <v>0</v>
      </c>
      <c r="G6" s="17">
        <v>0</v>
      </c>
      <c r="H6" s="17">
        <v>0</v>
      </c>
      <c r="I6" s="17">
        <f t="shared" ref="I6:I61" si="1">H6-J6</f>
        <v>0</v>
      </c>
      <c r="J6" s="17">
        <v>0</v>
      </c>
      <c r="K6" s="17">
        <f t="shared" ref="K6:K61" si="2">E6+I6</f>
        <v>2.94</v>
      </c>
    </row>
    <row r="7" ht="22.5" spans="1:11">
      <c r="A7" s="15">
        <v>2</v>
      </c>
      <c r="B7" s="16" t="s">
        <v>15</v>
      </c>
      <c r="C7" s="17">
        <v>319933.76</v>
      </c>
      <c r="D7" s="17">
        <v>263.94</v>
      </c>
      <c r="E7" s="17">
        <f t="shared" si="0"/>
        <v>263.94</v>
      </c>
      <c r="F7" s="17">
        <v>0</v>
      </c>
      <c r="G7" s="17">
        <v>5050</v>
      </c>
      <c r="H7" s="17">
        <v>2.72</v>
      </c>
      <c r="I7" s="17">
        <f t="shared" si="1"/>
        <v>2.72</v>
      </c>
      <c r="J7" s="17">
        <v>0</v>
      </c>
      <c r="K7" s="17">
        <f t="shared" si="2"/>
        <v>266.66</v>
      </c>
    </row>
    <row r="8" ht="22.5" spans="1:11">
      <c r="A8" s="15">
        <v>3</v>
      </c>
      <c r="B8" s="16" t="s">
        <v>100</v>
      </c>
      <c r="C8" s="17">
        <v>2513.33</v>
      </c>
      <c r="D8" s="17">
        <v>2.64</v>
      </c>
      <c r="E8" s="17">
        <f t="shared" si="0"/>
        <v>2.64</v>
      </c>
      <c r="F8" s="17">
        <v>0</v>
      </c>
      <c r="G8" s="17">
        <v>840</v>
      </c>
      <c r="H8" s="17">
        <v>0.54</v>
      </c>
      <c r="I8" s="17">
        <f t="shared" si="1"/>
        <v>0.54</v>
      </c>
      <c r="J8" s="17">
        <v>0</v>
      </c>
      <c r="K8" s="17">
        <f t="shared" si="2"/>
        <v>3.18</v>
      </c>
    </row>
    <row r="9" ht="22.5" spans="1:11">
      <c r="A9" s="15">
        <v>4</v>
      </c>
      <c r="B9" s="16" t="s">
        <v>50</v>
      </c>
      <c r="C9" s="17">
        <v>63532.13</v>
      </c>
      <c r="D9" s="17">
        <v>49.43</v>
      </c>
      <c r="E9" s="17">
        <f t="shared" si="0"/>
        <v>49.43</v>
      </c>
      <c r="F9" s="17">
        <v>0</v>
      </c>
      <c r="G9" s="17">
        <v>5655</v>
      </c>
      <c r="H9" s="17">
        <v>3.4</v>
      </c>
      <c r="I9" s="17">
        <f t="shared" si="1"/>
        <v>3.4</v>
      </c>
      <c r="J9" s="17">
        <v>0</v>
      </c>
      <c r="K9" s="17">
        <f t="shared" si="2"/>
        <v>52.83</v>
      </c>
    </row>
    <row r="10" ht="22.5" spans="1:11">
      <c r="A10" s="15">
        <v>5</v>
      </c>
      <c r="B10" s="16" t="s">
        <v>37</v>
      </c>
      <c r="C10" s="17">
        <v>35059.3</v>
      </c>
      <c r="D10" s="17">
        <v>26.27</v>
      </c>
      <c r="E10" s="17">
        <f t="shared" si="0"/>
        <v>26.27</v>
      </c>
      <c r="F10" s="17">
        <v>0</v>
      </c>
      <c r="G10" s="17">
        <v>9480</v>
      </c>
      <c r="H10" s="17">
        <v>5.36</v>
      </c>
      <c r="I10" s="17">
        <f t="shared" si="1"/>
        <v>5.36</v>
      </c>
      <c r="J10" s="17">
        <v>0</v>
      </c>
      <c r="K10" s="17">
        <f t="shared" si="2"/>
        <v>31.63</v>
      </c>
    </row>
    <row r="11" ht="22.5" spans="1:11">
      <c r="A11" s="15">
        <v>6</v>
      </c>
      <c r="B11" s="16" t="s">
        <v>12</v>
      </c>
      <c r="C11" s="17">
        <v>339798.25</v>
      </c>
      <c r="D11" s="17">
        <v>259.76</v>
      </c>
      <c r="E11" s="17">
        <f t="shared" si="0"/>
        <v>259.76</v>
      </c>
      <c r="F11" s="17">
        <v>0</v>
      </c>
      <c r="G11" s="17">
        <v>68608.13</v>
      </c>
      <c r="H11" s="17">
        <v>37.09</v>
      </c>
      <c r="I11" s="17">
        <f t="shared" si="1"/>
        <v>37.09</v>
      </c>
      <c r="J11" s="17">
        <v>0</v>
      </c>
      <c r="K11" s="17">
        <f t="shared" si="2"/>
        <v>296.85</v>
      </c>
    </row>
    <row r="12" ht="22.5" spans="1:11">
      <c r="A12" s="15">
        <v>7</v>
      </c>
      <c r="B12" s="16" t="s">
        <v>54</v>
      </c>
      <c r="C12" s="17">
        <v>40719.58</v>
      </c>
      <c r="D12" s="17">
        <v>30.41</v>
      </c>
      <c r="E12" s="17">
        <f t="shared" si="0"/>
        <v>30.41</v>
      </c>
      <c r="F12" s="17">
        <v>0</v>
      </c>
      <c r="G12" s="17">
        <v>6445</v>
      </c>
      <c r="H12" s="17">
        <v>3.76</v>
      </c>
      <c r="I12" s="17">
        <f t="shared" si="1"/>
        <v>3.76</v>
      </c>
      <c r="J12" s="17">
        <v>0</v>
      </c>
      <c r="K12" s="17">
        <f t="shared" si="2"/>
        <v>34.17</v>
      </c>
    </row>
    <row r="13" ht="22.5" spans="1:11">
      <c r="A13" s="15">
        <v>8</v>
      </c>
      <c r="B13" s="16" t="s">
        <v>10</v>
      </c>
      <c r="C13" s="17">
        <v>205790.45</v>
      </c>
      <c r="D13" s="17">
        <v>156.38</v>
      </c>
      <c r="E13" s="17">
        <f t="shared" si="0"/>
        <v>156.38</v>
      </c>
      <c r="F13" s="17">
        <v>0</v>
      </c>
      <c r="G13" s="17">
        <v>54068.5</v>
      </c>
      <c r="H13" s="22">
        <v>31.24</v>
      </c>
      <c r="I13" s="17">
        <f t="shared" si="1"/>
        <v>31.24</v>
      </c>
      <c r="J13" s="17">
        <v>0</v>
      </c>
      <c r="K13" s="17">
        <f t="shared" si="2"/>
        <v>187.62</v>
      </c>
    </row>
    <row r="14" ht="22.5" spans="1:11">
      <c r="A14" s="15">
        <v>9</v>
      </c>
      <c r="B14" s="16" t="s">
        <v>20</v>
      </c>
      <c r="C14" s="17">
        <v>234008.88</v>
      </c>
      <c r="D14" s="17">
        <v>182.66</v>
      </c>
      <c r="E14" s="17">
        <f t="shared" si="0"/>
        <v>182.66</v>
      </c>
      <c r="F14" s="17">
        <v>0</v>
      </c>
      <c r="G14" s="17">
        <v>29040.5</v>
      </c>
      <c r="H14" s="17">
        <v>16.28</v>
      </c>
      <c r="I14" s="17">
        <f t="shared" si="1"/>
        <v>16.28</v>
      </c>
      <c r="J14" s="17">
        <v>0</v>
      </c>
      <c r="K14" s="17">
        <f t="shared" si="2"/>
        <v>198.94</v>
      </c>
    </row>
    <row r="15" ht="22.5" spans="1:11">
      <c r="A15" s="15">
        <v>10</v>
      </c>
      <c r="B15" s="16" t="s">
        <v>22</v>
      </c>
      <c r="C15" s="17">
        <v>36321.82</v>
      </c>
      <c r="D15" s="17">
        <v>28.67</v>
      </c>
      <c r="E15" s="17">
        <f t="shared" si="0"/>
        <v>28.67</v>
      </c>
      <c r="F15" s="17">
        <v>0</v>
      </c>
      <c r="G15" s="17">
        <v>33060.5</v>
      </c>
      <c r="H15" s="17">
        <v>17.94</v>
      </c>
      <c r="I15" s="17">
        <f t="shared" si="1"/>
        <v>17.94</v>
      </c>
      <c r="J15" s="17">
        <v>0</v>
      </c>
      <c r="K15" s="17">
        <f t="shared" si="2"/>
        <v>46.61</v>
      </c>
    </row>
    <row r="16" ht="22.5" spans="1:11">
      <c r="A16" s="15">
        <v>11</v>
      </c>
      <c r="B16" s="16" t="s">
        <v>60</v>
      </c>
      <c r="C16" s="17">
        <v>114890.31</v>
      </c>
      <c r="D16" s="17">
        <v>92.26</v>
      </c>
      <c r="E16" s="17">
        <f t="shared" si="0"/>
        <v>92.26</v>
      </c>
      <c r="F16" s="17">
        <v>0</v>
      </c>
      <c r="G16" s="17">
        <v>14240.67</v>
      </c>
      <c r="H16" s="17">
        <v>8.77</v>
      </c>
      <c r="I16" s="17">
        <f t="shared" si="1"/>
        <v>8.77</v>
      </c>
      <c r="J16" s="17">
        <v>0</v>
      </c>
      <c r="K16" s="17">
        <f t="shared" si="2"/>
        <v>101.03</v>
      </c>
    </row>
    <row r="17" ht="22.5" spans="1:11">
      <c r="A17" s="15">
        <v>12</v>
      </c>
      <c r="B17" s="16" t="s">
        <v>48</v>
      </c>
      <c r="C17" s="17">
        <v>292407.47</v>
      </c>
      <c r="D17" s="17">
        <v>227.73</v>
      </c>
      <c r="E17" s="17">
        <f t="shared" si="0"/>
        <v>227.73</v>
      </c>
      <c r="F17" s="17">
        <v>0</v>
      </c>
      <c r="G17" s="17">
        <v>18326.67</v>
      </c>
      <c r="H17" s="17">
        <v>10.7</v>
      </c>
      <c r="I17" s="17">
        <f t="shared" si="1"/>
        <v>10.7</v>
      </c>
      <c r="J17" s="17">
        <v>0</v>
      </c>
      <c r="K17" s="17">
        <f t="shared" si="2"/>
        <v>238.43</v>
      </c>
    </row>
    <row r="18" ht="22.5" spans="1:11">
      <c r="A18" s="15">
        <v>13</v>
      </c>
      <c r="B18" s="16" t="s">
        <v>101</v>
      </c>
      <c r="C18" s="17">
        <v>20895.7</v>
      </c>
      <c r="D18" s="17">
        <v>18.65</v>
      </c>
      <c r="E18" s="17">
        <f t="shared" si="0"/>
        <v>18.65</v>
      </c>
      <c r="F18" s="17">
        <v>0</v>
      </c>
      <c r="G18" s="17">
        <v>11043.99</v>
      </c>
      <c r="H18" s="17">
        <v>7.61</v>
      </c>
      <c r="I18" s="17">
        <f t="shared" si="1"/>
        <v>7.61</v>
      </c>
      <c r="J18" s="17">
        <v>0</v>
      </c>
      <c r="K18" s="17">
        <f t="shared" si="2"/>
        <v>26.26</v>
      </c>
    </row>
    <row r="19" ht="22.5" spans="1:11">
      <c r="A19" s="15">
        <v>14</v>
      </c>
      <c r="B19" s="16" t="s">
        <v>39</v>
      </c>
      <c r="C19" s="17">
        <v>15841.33</v>
      </c>
      <c r="D19" s="17">
        <v>12.58</v>
      </c>
      <c r="E19" s="17">
        <f t="shared" si="0"/>
        <v>12.58</v>
      </c>
      <c r="F19" s="17">
        <v>0</v>
      </c>
      <c r="G19" s="17">
        <v>24883.33</v>
      </c>
      <c r="H19" s="17">
        <v>13.99</v>
      </c>
      <c r="I19" s="17">
        <f t="shared" si="1"/>
        <v>13.99</v>
      </c>
      <c r="J19" s="17">
        <v>0</v>
      </c>
      <c r="K19" s="17">
        <f t="shared" si="2"/>
        <v>26.57</v>
      </c>
    </row>
    <row r="20" ht="22.5" spans="1:11">
      <c r="A20" s="15">
        <v>15</v>
      </c>
      <c r="B20" s="16" t="s">
        <v>16</v>
      </c>
      <c r="C20" s="17">
        <v>208472.78</v>
      </c>
      <c r="D20" s="17">
        <v>169.77</v>
      </c>
      <c r="E20" s="17">
        <f t="shared" si="0"/>
        <v>169.77</v>
      </c>
      <c r="F20" s="17">
        <v>0</v>
      </c>
      <c r="G20" s="17">
        <v>30759.67</v>
      </c>
      <c r="H20" s="17">
        <v>16.88</v>
      </c>
      <c r="I20" s="17">
        <f t="shared" si="1"/>
        <v>16.88</v>
      </c>
      <c r="J20" s="17">
        <v>0</v>
      </c>
      <c r="K20" s="17">
        <f t="shared" si="2"/>
        <v>186.65</v>
      </c>
    </row>
    <row r="21" ht="22.5" spans="1:11">
      <c r="A21" s="15">
        <v>16</v>
      </c>
      <c r="B21" s="16" t="s">
        <v>102</v>
      </c>
      <c r="C21" s="17">
        <v>1628.33</v>
      </c>
      <c r="D21" s="17">
        <v>1.32</v>
      </c>
      <c r="E21" s="17">
        <f t="shared" si="0"/>
        <v>1.32</v>
      </c>
      <c r="F21" s="17">
        <v>0</v>
      </c>
      <c r="G21" s="17">
        <v>0</v>
      </c>
      <c r="H21" s="17">
        <v>0</v>
      </c>
      <c r="I21" s="17">
        <f t="shared" si="1"/>
        <v>0</v>
      </c>
      <c r="J21" s="17">
        <v>0</v>
      </c>
      <c r="K21" s="17">
        <f t="shared" si="2"/>
        <v>1.32</v>
      </c>
    </row>
    <row r="22" ht="22.5" spans="1:11">
      <c r="A22" s="15">
        <v>17</v>
      </c>
      <c r="B22" s="16" t="s">
        <v>103</v>
      </c>
      <c r="C22" s="17">
        <v>11478.33</v>
      </c>
      <c r="D22" s="17">
        <v>8.57</v>
      </c>
      <c r="E22" s="17">
        <f t="shared" si="0"/>
        <v>8.57</v>
      </c>
      <c r="F22" s="17">
        <v>0</v>
      </c>
      <c r="G22" s="17">
        <v>1878.33</v>
      </c>
      <c r="H22" s="17">
        <v>1.2</v>
      </c>
      <c r="I22" s="17">
        <f t="shared" si="1"/>
        <v>1.2</v>
      </c>
      <c r="J22" s="17">
        <v>0</v>
      </c>
      <c r="K22" s="17">
        <f t="shared" si="2"/>
        <v>9.77</v>
      </c>
    </row>
    <row r="23" ht="22.5" spans="1:11">
      <c r="A23" s="15">
        <v>18</v>
      </c>
      <c r="B23" s="16" t="s">
        <v>66</v>
      </c>
      <c r="C23" s="17">
        <v>36410.83</v>
      </c>
      <c r="D23" s="17">
        <v>33.06</v>
      </c>
      <c r="E23" s="17">
        <f t="shared" si="0"/>
        <v>33.06</v>
      </c>
      <c r="F23" s="17">
        <v>0</v>
      </c>
      <c r="G23" s="17">
        <v>700</v>
      </c>
      <c r="H23" s="17">
        <v>0.26</v>
      </c>
      <c r="I23" s="17">
        <f t="shared" si="1"/>
        <v>0.26</v>
      </c>
      <c r="J23" s="17">
        <v>0</v>
      </c>
      <c r="K23" s="17">
        <f t="shared" si="2"/>
        <v>33.32</v>
      </c>
    </row>
    <row r="24" ht="22.5" spans="1:11">
      <c r="A24" s="15">
        <v>19</v>
      </c>
      <c r="B24" s="16" t="s">
        <v>104</v>
      </c>
      <c r="C24" s="17">
        <v>23753.33</v>
      </c>
      <c r="D24" s="17">
        <v>18.92</v>
      </c>
      <c r="E24" s="17">
        <f t="shared" si="0"/>
        <v>18.92</v>
      </c>
      <c r="F24" s="17">
        <v>0</v>
      </c>
      <c r="G24" s="17">
        <v>0</v>
      </c>
      <c r="H24" s="17">
        <v>0</v>
      </c>
      <c r="I24" s="17">
        <f t="shared" si="1"/>
        <v>0</v>
      </c>
      <c r="J24" s="17">
        <v>0</v>
      </c>
      <c r="K24" s="17">
        <f t="shared" si="2"/>
        <v>18.92</v>
      </c>
    </row>
    <row r="25" ht="22.5" spans="1:11">
      <c r="A25" s="15">
        <v>20</v>
      </c>
      <c r="B25" s="16" t="s">
        <v>26</v>
      </c>
      <c r="C25" s="17">
        <v>41685.65</v>
      </c>
      <c r="D25" s="17">
        <v>32.69</v>
      </c>
      <c r="E25" s="17">
        <f t="shared" si="0"/>
        <v>32.69</v>
      </c>
      <c r="F25" s="17">
        <v>0</v>
      </c>
      <c r="G25" s="17">
        <v>2891.67</v>
      </c>
      <c r="H25" s="17">
        <v>1.87</v>
      </c>
      <c r="I25" s="17">
        <f t="shared" si="1"/>
        <v>1.87</v>
      </c>
      <c r="J25" s="17">
        <v>0</v>
      </c>
      <c r="K25" s="17">
        <f t="shared" si="2"/>
        <v>34.56</v>
      </c>
    </row>
    <row r="26" ht="22.5" spans="1:11">
      <c r="A26" s="15">
        <v>21</v>
      </c>
      <c r="B26" s="16" t="s">
        <v>28</v>
      </c>
      <c r="C26" s="17">
        <v>68199.95</v>
      </c>
      <c r="D26" s="17">
        <v>55.86</v>
      </c>
      <c r="E26" s="17">
        <f t="shared" si="0"/>
        <v>55.86</v>
      </c>
      <c r="F26" s="17">
        <v>0</v>
      </c>
      <c r="G26" s="17">
        <v>2971.67</v>
      </c>
      <c r="H26" s="17">
        <v>1.81</v>
      </c>
      <c r="I26" s="17">
        <f t="shared" si="1"/>
        <v>1.81</v>
      </c>
      <c r="J26" s="17">
        <v>0</v>
      </c>
      <c r="K26" s="17">
        <f t="shared" si="2"/>
        <v>57.67</v>
      </c>
    </row>
    <row r="27" ht="22.5" spans="1:11">
      <c r="A27" s="15">
        <v>22</v>
      </c>
      <c r="B27" s="16" t="s">
        <v>47</v>
      </c>
      <c r="C27" s="17">
        <v>14215.18</v>
      </c>
      <c r="D27" s="17">
        <v>11.27</v>
      </c>
      <c r="E27" s="17">
        <f t="shared" si="0"/>
        <v>11.27</v>
      </c>
      <c r="F27" s="17">
        <v>0</v>
      </c>
      <c r="G27" s="17">
        <v>9865.67</v>
      </c>
      <c r="H27" s="17">
        <v>5.41</v>
      </c>
      <c r="I27" s="17">
        <f t="shared" si="1"/>
        <v>5.41</v>
      </c>
      <c r="J27" s="17">
        <v>0</v>
      </c>
      <c r="K27" s="17">
        <f t="shared" si="2"/>
        <v>16.68</v>
      </c>
    </row>
    <row r="28" ht="22.5" spans="1:11">
      <c r="A28" s="15">
        <v>23</v>
      </c>
      <c r="B28" s="16" t="s">
        <v>30</v>
      </c>
      <c r="C28" s="17">
        <v>45834.44</v>
      </c>
      <c r="D28" s="17">
        <v>32.38</v>
      </c>
      <c r="E28" s="17">
        <f t="shared" si="0"/>
        <v>32.38</v>
      </c>
      <c r="F28" s="17">
        <v>0</v>
      </c>
      <c r="G28" s="17">
        <v>0</v>
      </c>
      <c r="H28" s="17">
        <v>0</v>
      </c>
      <c r="I28" s="17">
        <f t="shared" si="1"/>
        <v>0</v>
      </c>
      <c r="J28" s="17">
        <v>0</v>
      </c>
      <c r="K28" s="17">
        <f t="shared" si="2"/>
        <v>32.38</v>
      </c>
    </row>
    <row r="29" ht="22.5" spans="1:11">
      <c r="A29" s="15">
        <v>24</v>
      </c>
      <c r="B29" s="16" t="s">
        <v>25</v>
      </c>
      <c r="C29" s="17">
        <v>53473.67</v>
      </c>
      <c r="D29" s="17">
        <v>41.28</v>
      </c>
      <c r="E29" s="17">
        <f t="shared" si="0"/>
        <v>41.28</v>
      </c>
      <c r="F29" s="17">
        <v>0</v>
      </c>
      <c r="G29" s="17">
        <v>24861.33</v>
      </c>
      <c r="H29" s="17">
        <v>14.09</v>
      </c>
      <c r="I29" s="17">
        <f t="shared" si="1"/>
        <v>14.09</v>
      </c>
      <c r="J29" s="17">
        <v>0</v>
      </c>
      <c r="K29" s="17">
        <f t="shared" si="2"/>
        <v>55.37</v>
      </c>
    </row>
    <row r="30" ht="22.5" spans="1:11">
      <c r="A30" s="15">
        <v>25</v>
      </c>
      <c r="B30" s="16" t="s">
        <v>75</v>
      </c>
      <c r="C30" s="17">
        <v>6460.83</v>
      </c>
      <c r="D30" s="17">
        <v>5.14</v>
      </c>
      <c r="E30" s="17">
        <f t="shared" si="0"/>
        <v>5.14</v>
      </c>
      <c r="F30" s="17">
        <v>0</v>
      </c>
      <c r="G30" s="17">
        <v>5296.67</v>
      </c>
      <c r="H30" s="17">
        <v>3.3</v>
      </c>
      <c r="I30" s="17">
        <f t="shared" si="1"/>
        <v>3.3</v>
      </c>
      <c r="J30" s="17">
        <v>0</v>
      </c>
      <c r="K30" s="17">
        <f t="shared" si="2"/>
        <v>8.44</v>
      </c>
    </row>
    <row r="31" ht="22.5" spans="1:11">
      <c r="A31" s="15">
        <v>26</v>
      </c>
      <c r="B31" s="16" t="s">
        <v>76</v>
      </c>
      <c r="C31" s="17">
        <v>12676.17</v>
      </c>
      <c r="D31" s="17">
        <v>9.03</v>
      </c>
      <c r="E31" s="17">
        <f t="shared" si="0"/>
        <v>9.03</v>
      </c>
      <c r="F31" s="17">
        <v>0</v>
      </c>
      <c r="G31" s="17">
        <v>6604.33</v>
      </c>
      <c r="H31" s="17">
        <v>3.36</v>
      </c>
      <c r="I31" s="17">
        <f t="shared" si="1"/>
        <v>3.36</v>
      </c>
      <c r="J31" s="17">
        <v>0</v>
      </c>
      <c r="K31" s="17">
        <f t="shared" si="2"/>
        <v>12.39</v>
      </c>
    </row>
    <row r="32" ht="22.5" spans="1:11">
      <c r="A32" s="15">
        <v>27</v>
      </c>
      <c r="B32" s="16" t="s">
        <v>8</v>
      </c>
      <c r="C32" s="17">
        <v>1960108.92</v>
      </c>
      <c r="D32" s="17">
        <v>1537.38</v>
      </c>
      <c r="E32" s="17">
        <f t="shared" si="0"/>
        <v>1537.38</v>
      </c>
      <c r="F32" s="17">
        <v>0</v>
      </c>
      <c r="G32" s="17">
        <v>71088.33</v>
      </c>
      <c r="H32" s="17">
        <v>37.75</v>
      </c>
      <c r="I32" s="17">
        <f t="shared" si="1"/>
        <v>37.75</v>
      </c>
      <c r="J32" s="17">
        <v>0</v>
      </c>
      <c r="K32" s="17">
        <f t="shared" si="2"/>
        <v>1575.13</v>
      </c>
    </row>
    <row r="33" ht="22.5" spans="1:11">
      <c r="A33" s="15">
        <v>28</v>
      </c>
      <c r="B33" s="16" t="s">
        <v>105</v>
      </c>
      <c r="C33" s="17">
        <v>86759.5</v>
      </c>
      <c r="D33" s="17">
        <v>74.12</v>
      </c>
      <c r="E33" s="17">
        <f t="shared" si="0"/>
        <v>74.12</v>
      </c>
      <c r="F33" s="17">
        <v>0</v>
      </c>
      <c r="G33" s="17">
        <v>32908.33</v>
      </c>
      <c r="H33" s="17">
        <v>20.73</v>
      </c>
      <c r="I33" s="17">
        <f t="shared" si="1"/>
        <v>20.73</v>
      </c>
      <c r="J33" s="17">
        <v>0</v>
      </c>
      <c r="K33" s="17">
        <f t="shared" si="2"/>
        <v>94.85</v>
      </c>
    </row>
    <row r="34" ht="22.5" spans="1:11">
      <c r="A34" s="15">
        <v>29</v>
      </c>
      <c r="B34" s="16" t="s">
        <v>57</v>
      </c>
      <c r="C34" s="17">
        <v>933.33</v>
      </c>
      <c r="D34" s="17">
        <v>0.79</v>
      </c>
      <c r="E34" s="17">
        <f t="shared" si="0"/>
        <v>0.79</v>
      </c>
      <c r="F34" s="17">
        <v>0</v>
      </c>
      <c r="G34" s="17">
        <v>0</v>
      </c>
      <c r="H34" s="17">
        <v>0</v>
      </c>
      <c r="I34" s="17">
        <f t="shared" si="1"/>
        <v>0</v>
      </c>
      <c r="J34" s="17">
        <v>0</v>
      </c>
      <c r="K34" s="17">
        <f t="shared" si="2"/>
        <v>0.79</v>
      </c>
    </row>
    <row r="35" ht="22.5" spans="1:11">
      <c r="A35" s="15">
        <v>30</v>
      </c>
      <c r="B35" s="16" t="s">
        <v>27</v>
      </c>
      <c r="C35" s="17">
        <v>42218</v>
      </c>
      <c r="D35" s="17">
        <v>32.47</v>
      </c>
      <c r="E35" s="17">
        <f t="shared" si="0"/>
        <v>32.47</v>
      </c>
      <c r="F35" s="17">
        <v>0</v>
      </c>
      <c r="G35" s="17">
        <v>9319.17</v>
      </c>
      <c r="H35" s="17">
        <v>5.58</v>
      </c>
      <c r="I35" s="17">
        <f t="shared" si="1"/>
        <v>5.58</v>
      </c>
      <c r="J35" s="17">
        <v>0</v>
      </c>
      <c r="K35" s="17">
        <f t="shared" si="2"/>
        <v>38.05</v>
      </c>
    </row>
    <row r="36" ht="22.5" spans="1:11">
      <c r="A36" s="15">
        <v>31</v>
      </c>
      <c r="B36" s="16" t="s">
        <v>38</v>
      </c>
      <c r="C36" s="17">
        <v>18211</v>
      </c>
      <c r="D36" s="17">
        <v>14.13</v>
      </c>
      <c r="E36" s="17">
        <f t="shared" si="0"/>
        <v>14.13</v>
      </c>
      <c r="F36" s="17">
        <v>0</v>
      </c>
      <c r="G36" s="17">
        <v>5150</v>
      </c>
      <c r="H36" s="17">
        <v>2.89</v>
      </c>
      <c r="I36" s="17">
        <f t="shared" si="1"/>
        <v>2.89</v>
      </c>
      <c r="J36" s="17">
        <v>0</v>
      </c>
      <c r="K36" s="17">
        <f t="shared" si="2"/>
        <v>17.02</v>
      </c>
    </row>
    <row r="37" ht="22.5" spans="1:11">
      <c r="A37" s="15">
        <v>32</v>
      </c>
      <c r="B37" s="16" t="s">
        <v>14</v>
      </c>
      <c r="C37" s="17">
        <v>198697.39</v>
      </c>
      <c r="D37" s="17">
        <v>167.43</v>
      </c>
      <c r="E37" s="17">
        <f t="shared" si="0"/>
        <v>167.43</v>
      </c>
      <c r="F37" s="17">
        <v>0</v>
      </c>
      <c r="G37" s="17">
        <v>9477.5</v>
      </c>
      <c r="H37" s="17">
        <v>4.65</v>
      </c>
      <c r="I37" s="17">
        <f t="shared" si="1"/>
        <v>4.65</v>
      </c>
      <c r="J37" s="17">
        <v>0</v>
      </c>
      <c r="K37" s="17">
        <f t="shared" si="2"/>
        <v>172.08</v>
      </c>
    </row>
    <row r="38" ht="22.5" spans="1:11">
      <c r="A38" s="15">
        <v>33</v>
      </c>
      <c r="B38" s="16" t="s">
        <v>44</v>
      </c>
      <c r="C38" s="17">
        <v>39898.17</v>
      </c>
      <c r="D38" s="17">
        <v>31.55</v>
      </c>
      <c r="E38" s="17">
        <f t="shared" si="0"/>
        <v>31.55</v>
      </c>
      <c r="F38" s="17">
        <v>0</v>
      </c>
      <c r="G38" s="17">
        <v>8288.33</v>
      </c>
      <c r="H38" s="17">
        <v>4.99</v>
      </c>
      <c r="I38" s="17">
        <f t="shared" si="1"/>
        <v>4.99</v>
      </c>
      <c r="J38" s="17">
        <v>0</v>
      </c>
      <c r="K38" s="17">
        <f t="shared" si="2"/>
        <v>36.54</v>
      </c>
    </row>
    <row r="39" ht="22.5" spans="1:11">
      <c r="A39" s="15">
        <v>34</v>
      </c>
      <c r="B39" s="16" t="s">
        <v>64</v>
      </c>
      <c r="C39" s="17">
        <v>129343.32</v>
      </c>
      <c r="D39" s="17">
        <v>107.99</v>
      </c>
      <c r="E39" s="17">
        <f t="shared" si="0"/>
        <v>107.99</v>
      </c>
      <c r="F39" s="17">
        <v>0</v>
      </c>
      <c r="G39" s="17">
        <v>19298.33</v>
      </c>
      <c r="H39" s="17">
        <v>10.38</v>
      </c>
      <c r="I39" s="17">
        <f t="shared" si="1"/>
        <v>10.38</v>
      </c>
      <c r="J39" s="17">
        <v>0</v>
      </c>
      <c r="K39" s="17">
        <f t="shared" si="2"/>
        <v>118.37</v>
      </c>
    </row>
    <row r="40" ht="22.5" spans="1:11">
      <c r="A40" s="15">
        <v>35</v>
      </c>
      <c r="B40" s="16" t="s">
        <v>59</v>
      </c>
      <c r="C40" s="17">
        <v>3158.33</v>
      </c>
      <c r="D40" s="17">
        <v>2.57</v>
      </c>
      <c r="E40" s="17">
        <f t="shared" si="0"/>
        <v>2.57</v>
      </c>
      <c r="F40" s="17">
        <v>0</v>
      </c>
      <c r="G40" s="17">
        <v>0</v>
      </c>
      <c r="H40" s="17">
        <v>0</v>
      </c>
      <c r="I40" s="17">
        <f t="shared" si="1"/>
        <v>0</v>
      </c>
      <c r="J40" s="17">
        <v>0</v>
      </c>
      <c r="K40" s="17">
        <f t="shared" si="2"/>
        <v>2.57</v>
      </c>
    </row>
    <row r="41" ht="22.5" spans="1:11">
      <c r="A41" s="15">
        <v>36</v>
      </c>
      <c r="B41" s="16" t="s">
        <v>17</v>
      </c>
      <c r="C41" s="17">
        <v>231490.16</v>
      </c>
      <c r="D41" s="17">
        <v>186.53</v>
      </c>
      <c r="E41" s="17">
        <f t="shared" si="0"/>
        <v>186.53</v>
      </c>
      <c r="F41" s="17">
        <v>0</v>
      </c>
      <c r="G41" s="17">
        <v>25644.67</v>
      </c>
      <c r="H41" s="17">
        <v>15.21</v>
      </c>
      <c r="I41" s="17">
        <f t="shared" si="1"/>
        <v>15.21</v>
      </c>
      <c r="J41" s="17">
        <v>0</v>
      </c>
      <c r="K41" s="17">
        <f t="shared" si="2"/>
        <v>201.74</v>
      </c>
    </row>
    <row r="42" ht="22.5" spans="1:11">
      <c r="A42" s="15">
        <v>37</v>
      </c>
      <c r="B42" s="16" t="s">
        <v>33</v>
      </c>
      <c r="C42" s="17">
        <v>10931</v>
      </c>
      <c r="D42" s="17">
        <v>7.86</v>
      </c>
      <c r="E42" s="17">
        <f t="shared" si="0"/>
        <v>7.86</v>
      </c>
      <c r="F42" s="17">
        <v>0</v>
      </c>
      <c r="G42" s="17">
        <v>9375.67</v>
      </c>
      <c r="H42" s="17">
        <v>5.45</v>
      </c>
      <c r="I42" s="17">
        <f t="shared" si="1"/>
        <v>5.45</v>
      </c>
      <c r="J42" s="17">
        <v>0</v>
      </c>
      <c r="K42" s="17">
        <f t="shared" si="2"/>
        <v>13.31</v>
      </c>
    </row>
    <row r="43" ht="22.5" spans="1:11">
      <c r="A43" s="15">
        <v>38</v>
      </c>
      <c r="B43" s="16" t="s">
        <v>41</v>
      </c>
      <c r="C43" s="17">
        <v>6913.17</v>
      </c>
      <c r="D43" s="17">
        <v>5.57</v>
      </c>
      <c r="E43" s="17">
        <f t="shared" si="0"/>
        <v>5.57</v>
      </c>
      <c r="F43" s="17">
        <v>0</v>
      </c>
      <c r="G43" s="17">
        <v>2763.33</v>
      </c>
      <c r="H43" s="17">
        <v>1.36</v>
      </c>
      <c r="I43" s="17">
        <f t="shared" si="1"/>
        <v>1.36</v>
      </c>
      <c r="J43" s="17">
        <v>0</v>
      </c>
      <c r="K43" s="17">
        <f t="shared" si="2"/>
        <v>6.93</v>
      </c>
    </row>
    <row r="44" ht="22.5" spans="1:11">
      <c r="A44" s="15">
        <v>39</v>
      </c>
      <c r="B44" s="16" t="s">
        <v>51</v>
      </c>
      <c r="C44" s="17">
        <v>23799.66</v>
      </c>
      <c r="D44" s="17">
        <v>19.63</v>
      </c>
      <c r="E44" s="17">
        <f t="shared" si="0"/>
        <v>19.63</v>
      </c>
      <c r="F44" s="17">
        <v>0</v>
      </c>
      <c r="G44" s="17">
        <v>9275</v>
      </c>
      <c r="H44" s="17">
        <v>5.57</v>
      </c>
      <c r="I44" s="17">
        <f t="shared" si="1"/>
        <v>5.57</v>
      </c>
      <c r="J44" s="17">
        <v>0</v>
      </c>
      <c r="K44" s="17">
        <f t="shared" si="2"/>
        <v>25.2</v>
      </c>
    </row>
    <row r="45" ht="22.5" spans="1:11">
      <c r="A45" s="15">
        <v>40</v>
      </c>
      <c r="B45" s="16" t="s">
        <v>61</v>
      </c>
      <c r="C45" s="17">
        <v>51979.17</v>
      </c>
      <c r="D45" s="17">
        <v>42.43</v>
      </c>
      <c r="E45" s="17">
        <f t="shared" si="0"/>
        <v>42.43</v>
      </c>
      <c r="F45" s="17">
        <v>0</v>
      </c>
      <c r="G45" s="17">
        <v>2866.67</v>
      </c>
      <c r="H45" s="17">
        <v>1.22</v>
      </c>
      <c r="I45" s="17">
        <f t="shared" si="1"/>
        <v>1.22</v>
      </c>
      <c r="J45" s="17">
        <v>0</v>
      </c>
      <c r="K45" s="17">
        <f t="shared" si="2"/>
        <v>43.65</v>
      </c>
    </row>
    <row r="46" ht="22.5" spans="1:11">
      <c r="A46" s="15">
        <v>41</v>
      </c>
      <c r="B46" s="16" t="s">
        <v>36</v>
      </c>
      <c r="C46" s="17">
        <v>100354.99</v>
      </c>
      <c r="D46" s="17">
        <v>79.85</v>
      </c>
      <c r="E46" s="17">
        <f t="shared" si="0"/>
        <v>79.85</v>
      </c>
      <c r="F46" s="17">
        <v>0</v>
      </c>
      <c r="G46" s="17">
        <v>49465.33</v>
      </c>
      <c r="H46" s="17">
        <v>28.73</v>
      </c>
      <c r="I46" s="17">
        <f t="shared" si="1"/>
        <v>28.73</v>
      </c>
      <c r="J46" s="17">
        <v>0</v>
      </c>
      <c r="K46" s="17">
        <f t="shared" si="2"/>
        <v>108.58</v>
      </c>
    </row>
    <row r="47" ht="22.5" spans="1:11">
      <c r="A47" s="15">
        <v>42</v>
      </c>
      <c r="B47" s="16" t="s">
        <v>19</v>
      </c>
      <c r="C47" s="17">
        <v>61974.33</v>
      </c>
      <c r="D47" s="17">
        <v>53.08</v>
      </c>
      <c r="E47" s="17">
        <f t="shared" si="0"/>
        <v>53.08</v>
      </c>
      <c r="F47" s="17">
        <v>0</v>
      </c>
      <c r="G47" s="17">
        <v>26094.7</v>
      </c>
      <c r="H47" s="17">
        <v>15.86</v>
      </c>
      <c r="I47" s="17">
        <f t="shared" si="1"/>
        <v>15.86</v>
      </c>
      <c r="J47" s="17">
        <v>0</v>
      </c>
      <c r="K47" s="17">
        <f t="shared" si="2"/>
        <v>68.94</v>
      </c>
    </row>
    <row r="48" ht="22.5" spans="1:11">
      <c r="A48" s="15">
        <v>43</v>
      </c>
      <c r="B48" s="16" t="s">
        <v>62</v>
      </c>
      <c r="C48" s="17">
        <v>864.17</v>
      </c>
      <c r="D48" s="17">
        <v>0.08</v>
      </c>
      <c r="E48" s="17">
        <f t="shared" si="0"/>
        <v>0.08</v>
      </c>
      <c r="F48" s="17">
        <v>0</v>
      </c>
      <c r="G48" s="17">
        <v>0</v>
      </c>
      <c r="H48" s="17">
        <v>0</v>
      </c>
      <c r="I48" s="17">
        <f t="shared" si="1"/>
        <v>0</v>
      </c>
      <c r="J48" s="17">
        <v>0</v>
      </c>
      <c r="K48" s="17">
        <f t="shared" si="2"/>
        <v>0.08</v>
      </c>
    </row>
    <row r="49" ht="22.5" spans="1:11">
      <c r="A49" s="15">
        <v>44</v>
      </c>
      <c r="B49" s="16" t="s">
        <v>67</v>
      </c>
      <c r="C49" s="17">
        <v>33645.58</v>
      </c>
      <c r="D49" s="17">
        <v>23.12</v>
      </c>
      <c r="E49" s="17">
        <f t="shared" si="0"/>
        <v>23.12</v>
      </c>
      <c r="F49" s="17">
        <v>0</v>
      </c>
      <c r="G49" s="17">
        <v>0</v>
      </c>
      <c r="H49" s="17">
        <v>0</v>
      </c>
      <c r="I49" s="17">
        <f t="shared" si="1"/>
        <v>0</v>
      </c>
      <c r="J49" s="17">
        <v>0</v>
      </c>
      <c r="K49" s="17">
        <f t="shared" si="2"/>
        <v>23.12</v>
      </c>
    </row>
    <row r="50" ht="22.5" spans="1:11">
      <c r="A50" s="15">
        <v>45</v>
      </c>
      <c r="B50" s="16" t="s">
        <v>106</v>
      </c>
      <c r="C50" s="17">
        <v>183052.08</v>
      </c>
      <c r="D50" s="17">
        <v>154.02</v>
      </c>
      <c r="E50" s="17">
        <f t="shared" si="0"/>
        <v>154.02</v>
      </c>
      <c r="F50" s="17">
        <v>0</v>
      </c>
      <c r="G50" s="17">
        <v>52536.63</v>
      </c>
      <c r="H50" s="17">
        <v>33.15</v>
      </c>
      <c r="I50" s="17">
        <f t="shared" si="1"/>
        <v>33.15</v>
      </c>
      <c r="J50" s="17">
        <v>0</v>
      </c>
      <c r="K50" s="17">
        <f t="shared" si="2"/>
        <v>187.17</v>
      </c>
    </row>
    <row r="51" ht="22.5" spans="1:11">
      <c r="A51" s="15">
        <v>46</v>
      </c>
      <c r="B51" s="16" t="s">
        <v>56</v>
      </c>
      <c r="C51" s="17">
        <v>266769.24</v>
      </c>
      <c r="D51" s="17">
        <v>224.32</v>
      </c>
      <c r="E51" s="17">
        <f t="shared" si="0"/>
        <v>224.32</v>
      </c>
      <c r="F51" s="17">
        <v>0</v>
      </c>
      <c r="G51" s="17">
        <v>12181</v>
      </c>
      <c r="H51" s="17">
        <v>7.9</v>
      </c>
      <c r="I51" s="17">
        <f t="shared" si="1"/>
        <v>7.9</v>
      </c>
      <c r="J51" s="17">
        <v>0</v>
      </c>
      <c r="K51" s="17">
        <f t="shared" si="2"/>
        <v>232.22</v>
      </c>
    </row>
    <row r="52" ht="22.5" spans="1:11">
      <c r="A52" s="15">
        <v>47</v>
      </c>
      <c r="B52" s="16" t="s">
        <v>55</v>
      </c>
      <c r="C52" s="17">
        <v>13075.83</v>
      </c>
      <c r="D52" s="17">
        <v>10.59</v>
      </c>
      <c r="E52" s="17">
        <f t="shared" si="0"/>
        <v>10.59</v>
      </c>
      <c r="F52" s="17">
        <v>0</v>
      </c>
      <c r="G52" s="17">
        <v>9448.33</v>
      </c>
      <c r="H52" s="17">
        <v>5.59</v>
      </c>
      <c r="I52" s="17">
        <f t="shared" si="1"/>
        <v>5.59</v>
      </c>
      <c r="J52" s="17">
        <v>0</v>
      </c>
      <c r="K52" s="17">
        <f t="shared" si="2"/>
        <v>16.18</v>
      </c>
    </row>
    <row r="53" ht="22.5" spans="1:11">
      <c r="A53" s="15">
        <v>48</v>
      </c>
      <c r="B53" s="16" t="s">
        <v>24</v>
      </c>
      <c r="C53" s="17">
        <v>28563.5</v>
      </c>
      <c r="D53" s="17">
        <v>21.84</v>
      </c>
      <c r="E53" s="17">
        <f t="shared" si="0"/>
        <v>21.84</v>
      </c>
      <c r="F53" s="17">
        <v>0</v>
      </c>
      <c r="G53" s="17">
        <v>48650.33</v>
      </c>
      <c r="H53" s="17">
        <v>26.14</v>
      </c>
      <c r="I53" s="17">
        <f t="shared" si="1"/>
        <v>26.14</v>
      </c>
      <c r="J53" s="17">
        <v>0</v>
      </c>
      <c r="K53" s="17">
        <f t="shared" si="2"/>
        <v>47.98</v>
      </c>
    </row>
    <row r="54" ht="22.5" spans="1:11">
      <c r="A54" s="15">
        <v>49</v>
      </c>
      <c r="B54" s="16" t="s">
        <v>45</v>
      </c>
      <c r="C54" s="17">
        <v>249581.65</v>
      </c>
      <c r="D54" s="17">
        <v>218.45</v>
      </c>
      <c r="E54" s="17">
        <f t="shared" si="0"/>
        <v>218.45</v>
      </c>
      <c r="F54" s="17">
        <v>0</v>
      </c>
      <c r="G54" s="17">
        <v>7558.33</v>
      </c>
      <c r="H54" s="17">
        <v>5.89</v>
      </c>
      <c r="I54" s="17">
        <f t="shared" si="1"/>
        <v>5.89</v>
      </c>
      <c r="J54" s="17">
        <v>0</v>
      </c>
      <c r="K54" s="17">
        <f t="shared" si="2"/>
        <v>224.34</v>
      </c>
    </row>
    <row r="55" ht="22.5" spans="1:11">
      <c r="A55" s="15">
        <v>50</v>
      </c>
      <c r="B55" s="16" t="s">
        <v>107</v>
      </c>
      <c r="C55" s="17">
        <v>5829.8</v>
      </c>
      <c r="D55" s="17">
        <v>4.95</v>
      </c>
      <c r="E55" s="17">
        <f t="shared" si="0"/>
        <v>4.95</v>
      </c>
      <c r="F55" s="17">
        <v>0</v>
      </c>
      <c r="G55" s="17">
        <v>0</v>
      </c>
      <c r="H55" s="17">
        <v>0</v>
      </c>
      <c r="I55" s="17">
        <f t="shared" si="1"/>
        <v>0</v>
      </c>
      <c r="J55" s="17">
        <v>0</v>
      </c>
      <c r="K55" s="17">
        <f t="shared" si="2"/>
        <v>4.95</v>
      </c>
    </row>
    <row r="56" ht="22.5" spans="1:11">
      <c r="A56" s="15">
        <v>51</v>
      </c>
      <c r="B56" s="16" t="s">
        <v>42</v>
      </c>
      <c r="C56" s="17">
        <v>24561.33</v>
      </c>
      <c r="D56" s="17">
        <v>21.08</v>
      </c>
      <c r="E56" s="17">
        <f t="shared" si="0"/>
        <v>21.08</v>
      </c>
      <c r="F56" s="17">
        <v>0</v>
      </c>
      <c r="G56" s="17">
        <v>20233.67</v>
      </c>
      <c r="H56" s="17">
        <v>11.81</v>
      </c>
      <c r="I56" s="17">
        <f t="shared" si="1"/>
        <v>11.81</v>
      </c>
      <c r="J56" s="17">
        <v>0</v>
      </c>
      <c r="K56" s="17">
        <f t="shared" si="2"/>
        <v>32.89</v>
      </c>
    </row>
    <row r="57" ht="22.5" spans="1:11">
      <c r="A57" s="15">
        <v>52</v>
      </c>
      <c r="B57" s="16" t="s">
        <v>52</v>
      </c>
      <c r="C57" s="17">
        <v>73528.17</v>
      </c>
      <c r="D57" s="17">
        <v>59.64</v>
      </c>
      <c r="E57" s="17">
        <f t="shared" si="0"/>
        <v>59.64</v>
      </c>
      <c r="F57" s="17">
        <v>0</v>
      </c>
      <c r="G57" s="17">
        <v>12550</v>
      </c>
      <c r="H57" s="17">
        <v>6.53</v>
      </c>
      <c r="I57" s="17">
        <f t="shared" si="1"/>
        <v>6.53</v>
      </c>
      <c r="J57" s="17">
        <v>0</v>
      </c>
      <c r="K57" s="17">
        <f t="shared" si="2"/>
        <v>66.17</v>
      </c>
    </row>
    <row r="58" ht="22.5" spans="1:11">
      <c r="A58" s="15">
        <v>53</v>
      </c>
      <c r="B58" s="16" t="s">
        <v>108</v>
      </c>
      <c r="C58" s="17">
        <v>785</v>
      </c>
      <c r="D58" s="17">
        <v>1.22</v>
      </c>
      <c r="E58" s="17">
        <f t="shared" si="0"/>
        <v>1.22</v>
      </c>
      <c r="F58" s="17">
        <v>0</v>
      </c>
      <c r="G58" s="17">
        <v>1300</v>
      </c>
      <c r="H58" s="17">
        <v>1.83</v>
      </c>
      <c r="I58" s="17">
        <f t="shared" si="1"/>
        <v>1.83</v>
      </c>
      <c r="J58" s="17">
        <v>0</v>
      </c>
      <c r="K58" s="17">
        <f t="shared" si="2"/>
        <v>3.05</v>
      </c>
    </row>
    <row r="59" ht="22.5" spans="1:11">
      <c r="A59" s="15">
        <v>54</v>
      </c>
      <c r="B59" s="16" t="s">
        <v>31</v>
      </c>
      <c r="C59" s="17">
        <v>127.5</v>
      </c>
      <c r="D59" s="17">
        <v>0.21</v>
      </c>
      <c r="E59" s="17">
        <f t="shared" si="0"/>
        <v>0.21</v>
      </c>
      <c r="F59" s="17">
        <v>0</v>
      </c>
      <c r="G59" s="17">
        <v>0</v>
      </c>
      <c r="H59" s="17">
        <v>0</v>
      </c>
      <c r="I59" s="17">
        <f t="shared" si="1"/>
        <v>0</v>
      </c>
      <c r="J59" s="17">
        <v>0</v>
      </c>
      <c r="K59" s="17">
        <f t="shared" si="2"/>
        <v>0.21</v>
      </c>
    </row>
    <row r="60" ht="22.5" spans="1:11">
      <c r="A60" s="15">
        <v>55</v>
      </c>
      <c r="B60" s="16" t="s">
        <v>84</v>
      </c>
      <c r="C60" s="17">
        <v>681501.97</v>
      </c>
      <c r="D60" s="17">
        <v>1181.41</v>
      </c>
      <c r="E60" s="17">
        <f t="shared" si="0"/>
        <v>1181.41</v>
      </c>
      <c r="F60" s="17">
        <v>0</v>
      </c>
      <c r="G60" s="17">
        <v>3600</v>
      </c>
      <c r="H60" s="17">
        <v>4.14</v>
      </c>
      <c r="I60" s="17">
        <f t="shared" si="1"/>
        <v>4.14</v>
      </c>
      <c r="J60" s="17">
        <v>0</v>
      </c>
      <c r="K60" s="17">
        <f t="shared" si="2"/>
        <v>1185.55</v>
      </c>
    </row>
    <row r="61" s="2" customFormat="true" ht="22.5" spans="1:11">
      <c r="A61" s="18" t="s">
        <v>68</v>
      </c>
      <c r="B61" s="19"/>
      <c r="C61" s="17">
        <f>ROUND(SUM(C6:C60),2)</f>
        <v>6778490.56</v>
      </c>
      <c r="D61" s="17">
        <f>ROUND(SUM(D6:D60),2)</f>
        <v>6057.92</v>
      </c>
      <c r="E61" s="17">
        <f t="shared" si="0"/>
        <v>6057.92</v>
      </c>
      <c r="F61" s="17">
        <v>0</v>
      </c>
      <c r="G61" s="17">
        <f>SUM(G6:G60)</f>
        <v>815645.28</v>
      </c>
      <c r="H61" s="17">
        <f>ROUND(SUM(H6:H60),2)</f>
        <v>470.93</v>
      </c>
      <c r="I61" s="17">
        <f t="shared" si="1"/>
        <v>470.93</v>
      </c>
      <c r="J61" s="17">
        <v>0</v>
      </c>
      <c r="K61" s="17">
        <f t="shared" si="2"/>
        <v>6528.85</v>
      </c>
    </row>
    <row r="62" ht="27" customHeight="true" spans="1:11">
      <c r="A62" s="20" t="s">
        <v>109</v>
      </c>
      <c r="B62" s="20"/>
      <c r="C62" s="20"/>
      <c r="D62" s="20"/>
      <c r="E62" s="20"/>
      <c r="F62" s="20"/>
      <c r="G62" s="20"/>
      <c r="H62" s="20"/>
      <c r="I62" s="20"/>
      <c r="J62" s="20"/>
      <c r="K62" s="23"/>
    </row>
  </sheetData>
  <mergeCells count="8">
    <mergeCell ref="A2:K2"/>
    <mergeCell ref="C4:F4"/>
    <mergeCell ref="G4:J4"/>
    <mergeCell ref="A61:B61"/>
    <mergeCell ref="A62:J62"/>
    <mergeCell ref="A4:A5"/>
    <mergeCell ref="B4:B5"/>
    <mergeCell ref="K4:K5"/>
  </mergeCells>
  <conditionalFormatting sqref="B$1:B$1048576 L$1:L$1048576">
    <cfRule type="duplicateValues" dxfId="0" priority="1"/>
  </conditionalFormatting>
  <printOptions horizontalCentered="true"/>
  <pageMargins left="0.0784722222222222" right="0.236111111111111" top="0.393055555555556" bottom="0.629861111111111" header="0.314583333333333" footer="0.314583333333333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再担保费-子璇原表</vt:lpstr>
      <vt:lpstr>Sheet1</vt:lpstr>
      <vt:lpstr>再担保费-修改表格-202208</vt:lpstr>
      <vt:lpstr>常规业务透视表</vt:lpstr>
      <vt:lpstr>批量业务透视表</vt:lpstr>
      <vt:lpstr>再担保费-4季度-20230201</vt:lpstr>
      <vt:lpstr>1-6月再担保费汇总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2006-09-18T08:00:00Z</dcterms:created>
  <cp:lastPrinted>2021-01-30T16:47:00Z</cp:lastPrinted>
  <dcterms:modified xsi:type="dcterms:W3CDTF">2025-10-23T08:23:16Z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E7ABEABEC73B49468A8C07429630BE9F_13</vt:lpwstr>
  </property>
  <property fmtid="{D5CDD505-2E9C-101B-9397-08002B2CF9AE}" pid="4" name="commondata">
    <vt:lpwstr>eyJoZGlkIjoiOGU3MGM2MjRlZTUyZjE1ZmE1MjE1OTY0MjExYTdhN2UifQ==</vt:lpwstr>
  </property>
</Properties>
</file>