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262" firstSheet="1" activeTab="1"/>
  </bookViews>
  <sheets>
    <sheet name="常规业务1-4" sheetId="5" state="hidden" r:id="rId1"/>
    <sheet name="常规业务5-6" sheetId="6" r:id="rId2"/>
    <sheet name="1简单汇总表 (2)" sheetId="12" r:id="rId3"/>
    <sheet name="2加工" sheetId="9" r:id="rId4"/>
    <sheet name="3汇总核对" sheetId="11" r:id="rId5"/>
    <sheet name="Sheet2" sheetId="8" r:id="rId6"/>
  </sheets>
  <definedNames>
    <definedName name="_xlnm._FilterDatabase" localSheetId="0" hidden="1">'常规业务1-4'!$A$1:$V$61</definedName>
    <definedName name="_xlnm._FilterDatabase" localSheetId="1" hidden="1">'常规业务5-6'!$4:$77</definedName>
    <definedName name="_xlnm._FilterDatabase" localSheetId="3" hidden="1">'2加工'!$A$2:$W$47</definedName>
    <definedName name="_xlnm.Print_Titles" localSheetId="0">'常规业务1-4'!$3:$3</definedName>
    <definedName name="_xlnm.Print_Titles" localSheetId="1">'常规业务5-6'!$4:$4</definedName>
    <definedName name="_xlnm.Print_Area" localSheetId="1">'常规业务5-6'!$A$1:$V$62</definedName>
  </definedNames>
  <calcPr calcId="144525"/>
</workbook>
</file>

<file path=xl/sharedStrings.xml><?xml version="1.0" encoding="utf-8"?>
<sst xmlns="http://schemas.openxmlformats.org/spreadsheetml/2006/main" count="664" uniqueCount="106">
  <si>
    <t xml:space="preserve">2022年1-4月担保费补贴汇总表                                                                         </t>
  </si>
  <si>
    <t>序号</t>
  </si>
  <si>
    <t xml:space="preserve">  机 构</t>
  </si>
  <si>
    <t>常规业务</t>
  </si>
  <si>
    <t>批量业务</t>
  </si>
  <si>
    <t>拟申报补贴合计
（万元）</t>
  </si>
  <si>
    <t>核减后拟申报补贴合计（万元）</t>
  </si>
  <si>
    <t>总核减金额（万元）</t>
  </si>
  <si>
    <t>备注</t>
  </si>
  <si>
    <t>500万及以下累计金额（万元）</t>
  </si>
  <si>
    <t>笔数</t>
  </si>
  <si>
    <t>拟申报补贴
（万元）</t>
  </si>
  <si>
    <t>核减后申报补贴（万元）</t>
  </si>
  <si>
    <t>核减金额
（万元）</t>
  </si>
  <si>
    <t>500-1000万累计金额（万元）</t>
  </si>
  <si>
    <t>累计金额（万元）</t>
  </si>
  <si>
    <t>2022剩余可申报金额（万元）</t>
  </si>
  <si>
    <t>湖南省中小企业融资担保有限公司</t>
  </si>
  <si>
    <t>常德财鑫融资担保有限公司</t>
  </si>
  <si>
    <t>常德财科融资担保有限公司</t>
  </si>
  <si>
    <t>岳阳市融资担保有限责任公司</t>
  </si>
  <si>
    <t>岳阳市小微融资担保有限责任公司</t>
  </si>
  <si>
    <t>湘潭企业融资担保有限公司</t>
  </si>
  <si>
    <t>湘潭中小微融资担保有限公司</t>
  </si>
  <si>
    <t>娄底市兴娄融资担保有限公司</t>
  </si>
  <si>
    <t>永州市潇湘融资担保有限公司</t>
  </si>
  <si>
    <t>益阳市融资担保有限责任公司</t>
  </si>
  <si>
    <t>邵阳市中小企业融资担保有限责任公司</t>
  </si>
  <si>
    <t>邵东市鼎成融资担保有限公司</t>
  </si>
  <si>
    <t>张家界市中小企业融资担保有限公司</t>
  </si>
  <si>
    <t>张家界市融资担保集团有限公司</t>
  </si>
  <si>
    <t>张家界经济发展融资担保有限公司</t>
  </si>
  <si>
    <t>株洲高科火炬融资担保有限公司</t>
  </si>
  <si>
    <t>长沙市望财融资担保有限公司</t>
  </si>
  <si>
    <t>湖南德诚融资担保有限公司</t>
  </si>
  <si>
    <t>浏阳市中小企业融资担保有限公司</t>
  </si>
  <si>
    <t>湖南金信融资担保有限责任公司</t>
  </si>
  <si>
    <t>浏阳市财信融资担保有限公司</t>
  </si>
  <si>
    <t>湖南大农融资担保有限公司</t>
  </si>
  <si>
    <t>湖南省文化旅游融资担保有限公司</t>
  </si>
  <si>
    <t>常德市善德融资担保有限公司</t>
  </si>
  <si>
    <t>祁阳市融资担保有限公司</t>
  </si>
  <si>
    <t>株洲丰叶融资担保有限责任公司</t>
  </si>
  <si>
    <t>衡阳市融资担保集团有限公司</t>
  </si>
  <si>
    <t>岳阳县中小企业融资担保有限公司</t>
  </si>
  <si>
    <t>湖南金玉融资担保有限公司</t>
  </si>
  <si>
    <t>桃源县惠民中小企业融资担保有限公司</t>
  </si>
  <si>
    <t>岳阳市融创融资担保有限公司</t>
  </si>
  <si>
    <t>耒阳市互惠投融资担保有限公司</t>
  </si>
  <si>
    <t>长沙经济开发区融资担保有限公司</t>
  </si>
  <si>
    <t>湘潭县莲乡融资担保有限公司</t>
  </si>
  <si>
    <t>长沙市长财融资担保有限公司</t>
  </si>
  <si>
    <t>长沙星城中小企业融资担保有限公司</t>
  </si>
  <si>
    <t>湖南众诺融资担保有限公司</t>
  </si>
  <si>
    <t>株洲市融资担保有限公司</t>
  </si>
  <si>
    <t>湖南联保融资担保集团有限公司</t>
  </si>
  <si>
    <t>宁远县中小微企业融资担保有限公司</t>
  </si>
  <si>
    <t>花垣县十八洞融资担保有限责任公司</t>
  </si>
  <si>
    <t>隆回县中小企业融资担保有限责任公司</t>
  </si>
  <si>
    <t>湖南省国信财富融资担保有限责任公司</t>
  </si>
  <si>
    <t>常德美源融资担保有限责任公司</t>
  </si>
  <si>
    <t>长沙市中水融资担保有限公司</t>
  </si>
  <si>
    <t>郴州市中小企业融资担保有限公司</t>
  </si>
  <si>
    <t>湖南省麓谷中小企业融资担保有限公司</t>
  </si>
  <si>
    <t>湖南常宁裕通融资担保有限公司</t>
  </si>
  <si>
    <t>瀚华融资担保股份有限公司湖南分公司</t>
  </si>
  <si>
    <t>怀化市财信融资担保有限责任公司</t>
  </si>
  <si>
    <t>蓝山县财信融资担保有限公司</t>
  </si>
  <si>
    <t>邵阳云山融资担保有限责任公司</t>
  </si>
  <si>
    <t>嘉禾嘉盛融资担保有限责任公司</t>
  </si>
  <si>
    <t>湘西融资担保有限责任公司</t>
  </si>
  <si>
    <t>永州市小微融资担保有限责任公司</t>
  </si>
  <si>
    <t>汨罗诚晟融资担保有限公司</t>
  </si>
  <si>
    <t>邵阳县中小企业融资担保有限责任公司</t>
  </si>
  <si>
    <t>合计</t>
  </si>
  <si>
    <t>笔数合计</t>
  </si>
  <si>
    <t>常规笔数合计</t>
  </si>
  <si>
    <t>常规拟补贴</t>
  </si>
  <si>
    <t>涉及担保金额</t>
  </si>
  <si>
    <t>附件1</t>
  </si>
  <si>
    <t xml:space="preserve">2022年1-4月融资担保公司担保费补贴汇总表                                                                         </t>
  </si>
  <si>
    <t>申报补贴合计
（万元）</t>
  </si>
  <si>
    <t>核减后申报补贴合计（万元）</t>
  </si>
  <si>
    <t>申报补贴
（万元）</t>
  </si>
  <si>
    <t>核减后补贴（万元）</t>
  </si>
  <si>
    <t>1-4月已报</t>
  </si>
  <si>
    <t>截止4月可申报</t>
  </si>
  <si>
    <t>-</t>
  </si>
  <si>
    <t>浏阳市财信融资担保有限责任公司</t>
  </si>
  <si>
    <t>长沙经济技术开发区融资担保有限公司</t>
  </si>
  <si>
    <t>湖南浩森胶业有限公司备案台账中在保余额超1000万元，核减2.44万元</t>
  </si>
  <si>
    <t>8个项目在备案台账中在保余额超1000万元，核减24.02万元。</t>
  </si>
  <si>
    <t>常德市恒瑞汽车贸易有限公司、湖南安德丰新能源科技有限公司、津市鸿科建材有限公司在备案台账中在保金额超1000万元，合计核减13.6万元；</t>
  </si>
  <si>
    <t>共6个项目备案台账中在保余额超1000万元，核减8.49万元。</t>
  </si>
  <si>
    <t>湖南昌龙石油化工有限公司、湖南利钢金属制品有限公司在备案台账中在保余额超1000万元，核减9.75万元</t>
  </si>
  <si>
    <t>永州市佳骏工程材料有限公司担保费率为1.2%，超过1%，核减1.5万元；湖南省季丰农业有限公司担保率为1.2%，超过1%，核减1万元。</t>
  </si>
  <si>
    <t>湖南万正建筑工程有限公司、苏平在备案台账中在保余额超1000万元，合计核减11.99万元</t>
  </si>
  <si>
    <t>邵东县鼎成融资担保有限公司</t>
  </si>
  <si>
    <t>1.株洲新陶新材料有限公司缺少借款合同和担保费发票，核减补贴0.31万元。2.株洲金信防滑钉有限公司、湖南四季道健康发展有限公司、湖南清蓝科技有限责任公司、株洲市建德园林实业有限公司、株洲工大包装科技有限公司、湖南杰达网络科技有限公司、湖南三圆惟度品牌整合有限公司主债权金额均为500万以下，担保费率均超过1%，核减补贴8.22万元。3.机构提供的明细表中株洲市大为实业有限公司未被算入申报补贴总金额，不予核增。</t>
  </si>
  <si>
    <t>一季度单户申报金额超过1000万，全部核减</t>
  </si>
  <si>
    <t>湘潭县青山桥城镇建设开发有限公司借款合同及借据中债权金额为990万，但申报金额为1000万元，核减补贴0.05万元</t>
  </si>
  <si>
    <t>杨华、欧鹏、廖红平、廖好兰缺乏借款借据，核减补贴0.89万元</t>
  </si>
  <si>
    <t>李元辉借款借据和合同显示债权金额为30万元，但申报金额为50万元，核减补贴0.1万元。</t>
  </si>
  <si>
    <t>蓝山县财信融资担保有限责任公司</t>
  </si>
  <si>
    <t>长沙星城中小企业 融资担保有限公司</t>
  </si>
  <si>
    <t>扣除1-4月批量业务申报后
剩余额度</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</si>
</sst>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 "/>
  </numFmts>
  <fonts count="62">
    <font>
      <sz val="11"/>
      <color theme="1"/>
      <name val="宋体"/>
      <charset val="134"/>
      <scheme val="minor"/>
    </font>
    <font>
      <b/>
      <sz val="20"/>
      <color theme="1"/>
      <name val="仿宋"/>
      <charset val="134"/>
    </font>
    <font>
      <b/>
      <sz val="16"/>
      <name val="仿宋"/>
      <charset val="134"/>
    </font>
    <font>
      <sz val="20"/>
      <name val="黑体"/>
      <charset val="134"/>
    </font>
    <font>
      <sz val="16"/>
      <color theme="1"/>
      <name val="宋体"/>
      <charset val="134"/>
      <scheme val="minor"/>
    </font>
    <font>
      <b/>
      <sz val="16"/>
      <color theme="1"/>
      <name val="宋体"/>
      <charset val="134"/>
      <scheme val="minor"/>
    </font>
    <font>
      <b/>
      <sz val="16"/>
      <color theme="1"/>
      <name val="仿宋"/>
      <charset val="134"/>
    </font>
    <font>
      <b/>
      <sz val="16"/>
      <color rgb="FFFF0000"/>
      <name val="仿宋"/>
      <charset val="134"/>
    </font>
    <font>
      <b/>
      <sz val="11"/>
      <color theme="1"/>
      <name val="仿宋"/>
      <charset val="134"/>
    </font>
    <font>
      <b/>
      <sz val="11"/>
      <name val="仿宋"/>
      <charset val="134"/>
    </font>
    <font>
      <b/>
      <sz val="11"/>
      <color rgb="FFFF0000"/>
      <name val="仿宋"/>
      <charset val="134"/>
    </font>
    <font>
      <sz val="9"/>
      <color theme="1"/>
      <name val="宋体"/>
      <charset val="134"/>
      <scheme val="minor"/>
    </font>
    <font>
      <b/>
      <sz val="9"/>
      <color theme="1"/>
      <name val="仿宋"/>
      <charset val="134"/>
    </font>
    <font>
      <b/>
      <sz val="9"/>
      <name val="仿宋"/>
      <charset val="134"/>
    </font>
    <font>
      <b/>
      <sz val="9"/>
      <color rgb="FFFF0000"/>
      <name val="仿宋"/>
      <charset val="134"/>
    </font>
    <font>
      <sz val="9"/>
      <name val="黑体"/>
      <charset val="134"/>
    </font>
    <font>
      <sz val="9"/>
      <name val="仿宋"/>
      <charset val="134"/>
    </font>
    <font>
      <sz val="9"/>
      <color rgb="FFFF0000"/>
      <name val="黑体"/>
      <charset val="134"/>
    </font>
    <font>
      <sz val="18"/>
      <color theme="1"/>
      <name val="宋体"/>
      <charset val="134"/>
      <scheme val="minor"/>
    </font>
    <font>
      <sz val="11"/>
      <name val="宋体"/>
      <charset val="134"/>
      <scheme val="minor"/>
    </font>
    <font>
      <sz val="11"/>
      <color rgb="FFFF0000"/>
      <name val="宋体"/>
      <charset val="134"/>
      <scheme val="minor"/>
    </font>
    <font>
      <b/>
      <sz val="11"/>
      <color theme="1"/>
      <name val="宋体"/>
      <charset val="134"/>
      <scheme val="minor"/>
    </font>
    <font>
      <b/>
      <sz val="11"/>
      <color rgb="FFFF0000"/>
      <name val="宋体"/>
      <charset val="134"/>
      <scheme val="minor"/>
    </font>
    <font>
      <sz val="36"/>
      <color theme="1"/>
      <name val="黑体"/>
      <charset val="134"/>
    </font>
    <font>
      <b/>
      <sz val="48"/>
      <color rgb="FF000000"/>
      <name val="黑体"/>
      <charset val="134"/>
    </font>
    <font>
      <b/>
      <sz val="48"/>
      <name val="黑体"/>
      <charset val="134"/>
    </font>
    <font>
      <b/>
      <sz val="48"/>
      <color rgb="FFFF0000"/>
      <name val="黑体"/>
      <charset val="134"/>
    </font>
    <font>
      <b/>
      <sz val="48"/>
      <name val="仿宋"/>
      <charset val="134"/>
    </font>
    <font>
      <b/>
      <sz val="48"/>
      <color theme="1"/>
      <name val="仿宋"/>
      <charset val="134"/>
    </font>
    <font>
      <b/>
      <sz val="20"/>
      <name val="仿宋"/>
      <charset val="134"/>
    </font>
    <font>
      <b/>
      <sz val="20"/>
      <color rgb="FFFF0000"/>
      <name val="仿宋"/>
      <charset val="134"/>
    </font>
    <font>
      <sz val="18"/>
      <name val="仿宋"/>
      <charset val="134"/>
    </font>
    <font>
      <b/>
      <sz val="18"/>
      <color rgb="FFFF0000"/>
      <name val="仿宋"/>
      <charset val="134"/>
    </font>
    <font>
      <b/>
      <sz val="18"/>
      <name val="仿宋"/>
      <charset val="134"/>
    </font>
    <font>
      <b/>
      <sz val="11"/>
      <name val="宋体"/>
      <charset val="134"/>
      <scheme val="minor"/>
    </font>
    <font>
      <sz val="18"/>
      <name val="宋体"/>
      <charset val="134"/>
      <scheme val="minor"/>
    </font>
    <font>
      <sz val="18"/>
      <color rgb="FFFF0000"/>
      <name val="宋体"/>
      <charset val="134"/>
      <scheme val="minor"/>
    </font>
    <font>
      <b/>
      <sz val="18"/>
      <color rgb="FFFF0000"/>
      <name val="宋体"/>
      <charset val="134"/>
      <scheme val="minor"/>
    </font>
    <font>
      <b/>
      <sz val="19"/>
      <color rgb="FFFF0000"/>
      <name val="宋体"/>
      <charset val="134"/>
      <scheme val="minor"/>
    </font>
    <font>
      <sz val="14"/>
      <color theme="1"/>
      <name val="宋体"/>
      <charset val="134"/>
      <scheme val="minor"/>
    </font>
    <font>
      <b/>
      <sz val="18"/>
      <color theme="1"/>
      <name val="仿宋"/>
      <charset val="134"/>
    </font>
    <font>
      <b/>
      <sz val="14"/>
      <color theme="1"/>
      <name val="仿宋"/>
      <charset val="134"/>
    </font>
    <font>
      <b/>
      <sz val="18"/>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43" fillId="5" borderId="0" applyNumberFormat="0" applyBorder="0" applyAlignment="0" applyProtection="0">
      <alignment vertical="center"/>
    </xf>
    <xf numFmtId="0" fontId="44"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3" fillId="7" borderId="0" applyNumberFormat="0" applyBorder="0" applyAlignment="0" applyProtection="0">
      <alignment vertical="center"/>
    </xf>
    <xf numFmtId="0" fontId="45" fillId="8" borderId="0" applyNumberFormat="0" applyBorder="0" applyAlignment="0" applyProtection="0">
      <alignment vertical="center"/>
    </xf>
    <xf numFmtId="43" fontId="0" fillId="0" borderId="0" applyFont="0" applyFill="0" applyBorder="0" applyAlignment="0" applyProtection="0">
      <alignment vertical="center"/>
    </xf>
    <xf numFmtId="0" fontId="46" fillId="9" borderId="0" applyNumberFormat="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0" fillId="10" borderId="11" applyNumberFormat="0" applyFont="0" applyAlignment="0" applyProtection="0">
      <alignment vertical="center"/>
    </xf>
    <xf numFmtId="0" fontId="46" fillId="11"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12" applyNumberFormat="0" applyFill="0" applyAlignment="0" applyProtection="0">
      <alignment vertical="center"/>
    </xf>
    <xf numFmtId="0" fontId="54" fillId="0" borderId="12" applyNumberFormat="0" applyFill="0" applyAlignment="0" applyProtection="0">
      <alignment vertical="center"/>
    </xf>
    <xf numFmtId="0" fontId="46" fillId="12" borderId="0" applyNumberFormat="0" applyBorder="0" applyAlignment="0" applyProtection="0">
      <alignment vertical="center"/>
    </xf>
    <xf numFmtId="0" fontId="49" fillId="0" borderId="13" applyNumberFormat="0" applyFill="0" applyAlignment="0" applyProtection="0">
      <alignment vertical="center"/>
    </xf>
    <xf numFmtId="0" fontId="46" fillId="13" borderId="0" applyNumberFormat="0" applyBorder="0" applyAlignment="0" applyProtection="0">
      <alignment vertical="center"/>
    </xf>
    <xf numFmtId="0" fontId="55" fillId="14" borderId="14" applyNumberFormat="0" applyAlignment="0" applyProtection="0">
      <alignment vertical="center"/>
    </xf>
    <xf numFmtId="0" fontId="56" fillId="14" borderId="10" applyNumberFormat="0" applyAlignment="0" applyProtection="0">
      <alignment vertical="center"/>
    </xf>
    <xf numFmtId="0" fontId="57" fillId="15" borderId="15" applyNumberFormat="0" applyAlignment="0" applyProtection="0">
      <alignment vertical="center"/>
    </xf>
    <xf numFmtId="0" fontId="43" fillId="16" borderId="0" applyNumberFormat="0" applyBorder="0" applyAlignment="0" applyProtection="0">
      <alignment vertical="center"/>
    </xf>
    <xf numFmtId="0" fontId="46" fillId="17" borderId="0" applyNumberFormat="0" applyBorder="0" applyAlignment="0" applyProtection="0">
      <alignment vertical="center"/>
    </xf>
    <xf numFmtId="0" fontId="58" fillId="0" borderId="16" applyNumberFormat="0" applyFill="0" applyAlignment="0" applyProtection="0">
      <alignment vertical="center"/>
    </xf>
    <xf numFmtId="0" fontId="59" fillId="0" borderId="17" applyNumberFormat="0" applyFill="0" applyAlignment="0" applyProtection="0">
      <alignment vertical="center"/>
    </xf>
    <xf numFmtId="0" fontId="60" fillId="18" borderId="0" applyNumberFormat="0" applyBorder="0" applyAlignment="0" applyProtection="0">
      <alignment vertical="center"/>
    </xf>
    <xf numFmtId="0" fontId="61" fillId="19" borderId="0" applyNumberFormat="0" applyBorder="0" applyAlignment="0" applyProtection="0">
      <alignment vertical="center"/>
    </xf>
    <xf numFmtId="0" fontId="43" fillId="20" borderId="0" applyNumberFormat="0" applyBorder="0" applyAlignment="0" applyProtection="0">
      <alignment vertical="center"/>
    </xf>
    <xf numFmtId="0" fontId="46"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6" fillId="30" borderId="0" applyNumberFormat="0" applyBorder="0" applyAlignment="0" applyProtection="0">
      <alignment vertical="center"/>
    </xf>
    <xf numFmtId="0" fontId="43"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3" fillId="34" borderId="0" applyNumberFormat="0" applyBorder="0" applyAlignment="0" applyProtection="0">
      <alignment vertical="center"/>
    </xf>
    <xf numFmtId="0" fontId="46" fillId="35" borderId="0" applyNumberFormat="0" applyBorder="0" applyAlignment="0" applyProtection="0">
      <alignment vertical="center"/>
    </xf>
    <xf numFmtId="0" fontId="0" fillId="0" borderId="0"/>
  </cellStyleXfs>
  <cellXfs count="162">
    <xf numFmtId="0" fontId="0" fillId="0" borderId="0" xfId="0"/>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4" fillId="0" borderId="0" xfId="0" applyFont="1" applyFill="1"/>
    <xf numFmtId="0" fontId="0" fillId="0" borderId="0" xfId="0" applyFont="1" applyFill="1" applyAlignment="1">
      <alignment vertical="center"/>
    </xf>
    <xf numFmtId="0" fontId="4" fillId="0" borderId="0" xfId="0" applyFont="1"/>
    <xf numFmtId="0" fontId="5" fillId="0" borderId="0" xfId="0" applyFont="1"/>
    <xf numFmtId="0" fontId="6"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4" fillId="0" borderId="1" xfId="0" applyFont="1" applyBorder="1"/>
    <xf numFmtId="0" fontId="8" fillId="0" borderId="1" xfId="0"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5" fillId="0" borderId="1" xfId="0" applyFont="1" applyBorder="1"/>
    <xf numFmtId="0" fontId="4" fillId="2" borderId="0" xfId="0" applyFont="1" applyFill="1"/>
    <xf numFmtId="178" fontId="4" fillId="2" borderId="0" xfId="0" applyNumberFormat="1" applyFont="1" applyFill="1"/>
    <xf numFmtId="178" fontId="4" fillId="0" borderId="0" xfId="0" applyNumberFormat="1" applyFont="1"/>
    <xf numFmtId="178" fontId="4" fillId="0" borderId="0" xfId="0" applyNumberFormat="1" applyFont="1" applyFill="1"/>
    <xf numFmtId="0" fontId="4" fillId="3" borderId="0" xfId="0" applyFont="1" applyFill="1"/>
    <xf numFmtId="0" fontId="6" fillId="0" borderId="1" xfId="0" applyFont="1" applyFill="1" applyBorder="1" applyAlignment="1">
      <alignment horizontal="center" vertical="center" wrapText="1"/>
    </xf>
    <xf numFmtId="0" fontId="4" fillId="0" borderId="1" xfId="0" applyFont="1" applyFill="1" applyBorder="1" applyAlignment="1">
      <alignment horizontal="center" wrapText="1"/>
    </xf>
    <xf numFmtId="0" fontId="8" fillId="0" borderId="1" xfId="0" applyFont="1" applyFill="1" applyBorder="1" applyAlignment="1">
      <alignment horizontal="center" vertical="center" wrapText="1"/>
    </xf>
    <xf numFmtId="178" fontId="0" fillId="0" borderId="1" xfId="0" applyNumberFormat="1" applyFont="1" applyFill="1" applyBorder="1" applyAlignment="1">
      <alignment vertical="center"/>
    </xf>
    <xf numFmtId="0" fontId="4" fillId="0" borderId="1" xfId="0" applyFont="1" applyBorder="1" applyAlignment="1">
      <alignment horizontal="center" wrapText="1"/>
    </xf>
    <xf numFmtId="0" fontId="11" fillId="0" borderId="0" xfId="0" applyFont="1"/>
    <xf numFmtId="0" fontId="12" fillId="0" borderId="1" xfId="0" applyFont="1" applyFill="1" applyBorder="1" applyAlignment="1">
      <alignment horizontal="center" vertical="center"/>
    </xf>
    <xf numFmtId="176"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176" fontId="14" fillId="0" borderId="2"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5" fillId="0" borderId="1" xfId="0" applyNumberFormat="1" applyFont="1" applyFill="1" applyBorder="1" applyAlignment="1" applyProtection="1">
      <alignment horizontal="left" vertical="center" wrapText="1"/>
    </xf>
    <xf numFmtId="176"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xf>
    <xf numFmtId="176" fontId="16" fillId="4" borderId="1" xfId="0" applyNumberFormat="1" applyFont="1" applyFill="1" applyBorder="1" applyAlignment="1">
      <alignment horizontal="center" vertical="center" wrapText="1"/>
    </xf>
    <xf numFmtId="0" fontId="17" fillId="0" borderId="1" xfId="0" applyNumberFormat="1" applyFont="1" applyFill="1" applyBorder="1" applyAlignment="1" applyProtection="1">
      <alignment horizontal="center" vertical="center" wrapText="1"/>
    </xf>
    <xf numFmtId="176" fontId="13" fillId="0" borderId="3" xfId="0" applyNumberFormat="1" applyFont="1" applyFill="1" applyBorder="1" applyAlignment="1">
      <alignment horizontal="center" vertical="center" wrapText="1"/>
    </xf>
    <xf numFmtId="177" fontId="13" fillId="0" borderId="4" xfId="0" applyNumberFormat="1" applyFont="1" applyFill="1" applyBorder="1" applyAlignment="1">
      <alignment horizontal="center" vertical="center" wrapText="1"/>
    </xf>
    <xf numFmtId="176" fontId="13"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xf>
    <xf numFmtId="176" fontId="14" fillId="4" borderId="1" xfId="0" applyNumberFormat="1" applyFont="1" applyFill="1" applyBorder="1" applyAlignment="1">
      <alignment horizontal="center" vertical="center" wrapText="1"/>
    </xf>
    <xf numFmtId="176" fontId="12" fillId="0" borderId="5"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176" fontId="14" fillId="0" borderId="6"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178" fontId="16"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1" fillId="3" borderId="0" xfId="0" applyFont="1" applyFill="1"/>
    <xf numFmtId="0" fontId="18" fillId="0" borderId="0" xfId="0" applyFont="1"/>
    <xf numFmtId="0" fontId="19" fillId="0" borderId="0" xfId="0" applyFont="1" applyFill="1" applyAlignment="1"/>
    <xf numFmtId="176" fontId="19" fillId="0" borderId="0" xfId="0" applyNumberFormat="1" applyFont="1" applyAlignment="1">
      <alignment horizontal="center"/>
    </xf>
    <xf numFmtId="177" fontId="19" fillId="0" borderId="0" xfId="0" applyNumberFormat="1" applyFont="1" applyAlignment="1">
      <alignment horizontal="center"/>
    </xf>
    <xf numFmtId="176" fontId="20" fillId="0" borderId="0" xfId="0" applyNumberFormat="1" applyFont="1" applyAlignment="1">
      <alignment horizontal="center"/>
    </xf>
    <xf numFmtId="176" fontId="19" fillId="0" borderId="0" xfId="0" applyNumberFormat="1" applyFont="1"/>
    <xf numFmtId="177" fontId="19" fillId="0" borderId="0" xfId="0" applyNumberFormat="1" applyFont="1"/>
    <xf numFmtId="176" fontId="0" fillId="0" borderId="0" xfId="0" applyNumberFormat="1"/>
    <xf numFmtId="176" fontId="20" fillId="0" borderId="0" xfId="0" applyNumberFormat="1" applyFont="1"/>
    <xf numFmtId="176" fontId="21" fillId="0" borderId="0" xfId="0" applyNumberFormat="1" applyFont="1"/>
    <xf numFmtId="176" fontId="22" fillId="0" borderId="0" xfId="0" applyNumberFormat="1" applyFont="1"/>
    <xf numFmtId="0" fontId="23" fillId="0" borderId="0" xfId="0" applyFont="1"/>
    <xf numFmtId="0" fontId="24" fillId="0" borderId="7"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176" fontId="25" fillId="0" borderId="8" xfId="0" applyNumberFormat="1" applyFont="1" applyBorder="1" applyAlignment="1" applyProtection="1">
      <alignment horizontal="center" vertical="center" wrapText="1"/>
      <protection locked="0"/>
    </xf>
    <xf numFmtId="177" fontId="25" fillId="0" borderId="8" xfId="0" applyNumberFormat="1" applyFont="1" applyBorder="1" applyAlignment="1" applyProtection="1">
      <alignment horizontal="center" vertical="center" wrapText="1"/>
      <protection locked="0"/>
    </xf>
    <xf numFmtId="176" fontId="26" fillId="0" borderId="8" xfId="0" applyNumberFormat="1" applyFont="1" applyBorder="1" applyAlignment="1" applyProtection="1">
      <alignment horizontal="center" vertical="center" wrapText="1"/>
      <protection locked="0"/>
    </xf>
    <xf numFmtId="176" fontId="27"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center" vertical="center" wrapText="1"/>
    </xf>
    <xf numFmtId="176" fontId="28" fillId="0" borderId="1" xfId="0" applyNumberFormat="1" applyFont="1" applyFill="1" applyBorder="1" applyAlignment="1">
      <alignment horizontal="center" vertical="center" wrapText="1"/>
    </xf>
    <xf numFmtId="176" fontId="29" fillId="0" borderId="2" xfId="0" applyNumberFormat="1" applyFont="1" applyFill="1" applyBorder="1" applyAlignment="1">
      <alignment horizontal="center" vertical="center" wrapText="1"/>
    </xf>
    <xf numFmtId="177" fontId="29" fillId="0" borderId="1" xfId="0" applyNumberFormat="1" applyFont="1" applyFill="1" applyBorder="1" applyAlignment="1">
      <alignment horizontal="center" vertical="center" wrapText="1"/>
    </xf>
    <xf numFmtId="176" fontId="30" fillId="2" borderId="2" xfId="0" applyNumberFormat="1" applyFont="1" applyFill="1" applyBorder="1" applyAlignment="1">
      <alignment horizontal="center" vertical="center" wrapText="1"/>
    </xf>
    <xf numFmtId="176" fontId="30" fillId="0" borderId="2" xfId="0" applyNumberFormat="1" applyFont="1" applyFill="1" applyBorder="1" applyAlignment="1">
      <alignment horizontal="center" vertical="center" wrapText="1"/>
    </xf>
    <xf numFmtId="176" fontId="31" fillId="0" borderId="1" xfId="0" applyNumberFormat="1" applyFont="1" applyFill="1" applyBorder="1" applyAlignment="1">
      <alignment horizontal="center" vertical="center" wrapText="1"/>
    </xf>
    <xf numFmtId="177" fontId="31" fillId="0" borderId="1" xfId="0" applyNumberFormat="1" applyFont="1" applyFill="1" applyBorder="1" applyAlignment="1">
      <alignment horizontal="center" vertical="center" wrapText="1"/>
    </xf>
    <xf numFmtId="176" fontId="32" fillId="0" borderId="1" xfId="0" applyNumberFormat="1" applyFont="1" applyFill="1" applyBorder="1" applyAlignment="1">
      <alignment horizontal="center" vertical="center" wrapText="1"/>
    </xf>
    <xf numFmtId="0" fontId="33" fillId="0" borderId="7" xfId="0" applyFont="1" applyFill="1" applyBorder="1" applyAlignment="1">
      <alignment horizontal="center" vertical="center" wrapText="1"/>
    </xf>
    <xf numFmtId="0" fontId="33" fillId="0" borderId="9" xfId="0" applyFont="1" applyFill="1" applyBorder="1" applyAlignment="1">
      <alignment horizontal="center" vertical="center" wrapText="1"/>
    </xf>
    <xf numFmtId="176" fontId="33" fillId="0" borderId="1" xfId="0" applyNumberFormat="1" applyFont="1" applyFill="1" applyBorder="1" applyAlignment="1">
      <alignment horizontal="center" vertical="center" wrapText="1"/>
    </xf>
    <xf numFmtId="177" fontId="33" fillId="0" borderId="1" xfId="0" applyNumberFormat="1" applyFont="1" applyFill="1" applyBorder="1" applyAlignment="1">
      <alignment horizontal="center" vertical="center" wrapText="1"/>
    </xf>
    <xf numFmtId="176" fontId="32" fillId="2" borderId="1" xfId="0" applyNumberFormat="1" applyFont="1" applyFill="1" applyBorder="1" applyAlignment="1">
      <alignment horizontal="center" vertical="center" wrapText="1"/>
    </xf>
    <xf numFmtId="176" fontId="19" fillId="0" borderId="0" xfId="0" applyNumberFormat="1" applyFont="1" applyFill="1" applyAlignment="1">
      <alignment horizontal="center"/>
    </xf>
    <xf numFmtId="177" fontId="19" fillId="0" borderId="0" xfId="0" applyNumberFormat="1" applyFont="1" applyFill="1" applyAlignment="1">
      <alignment horizontal="center"/>
    </xf>
    <xf numFmtId="176" fontId="20" fillId="0" borderId="0" xfId="0" applyNumberFormat="1" applyFont="1" applyFill="1" applyAlignment="1">
      <alignment horizontal="center"/>
    </xf>
    <xf numFmtId="176" fontId="24" fillId="0" borderId="8" xfId="0" applyNumberFormat="1" applyFont="1" applyBorder="1" applyAlignment="1" applyProtection="1">
      <alignment horizontal="center" vertical="center" wrapText="1"/>
      <protection locked="0"/>
    </xf>
    <xf numFmtId="176" fontId="27" fillId="0" borderId="3" xfId="0" applyNumberFormat="1" applyFont="1" applyFill="1" applyBorder="1" applyAlignment="1">
      <alignment horizontal="center" vertical="center" wrapText="1"/>
    </xf>
    <xf numFmtId="177" fontId="27" fillId="0" borderId="4" xfId="0" applyNumberFormat="1" applyFont="1" applyFill="1" applyBorder="1" applyAlignment="1">
      <alignment horizontal="center" vertical="center" wrapText="1"/>
    </xf>
    <xf numFmtId="176" fontId="27" fillId="0" borderId="4" xfId="0" applyNumberFormat="1" applyFont="1" applyFill="1" applyBorder="1" applyAlignment="1">
      <alignment horizontal="center" vertical="center" wrapText="1"/>
    </xf>
    <xf numFmtId="176" fontId="28" fillId="0" borderId="4" xfId="0" applyNumberFormat="1" applyFont="1" applyFill="1" applyBorder="1" applyAlignment="1">
      <alignment horizontal="center" vertical="center" wrapText="1"/>
    </xf>
    <xf numFmtId="176" fontId="29"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31" fillId="0" borderId="1" xfId="0" applyNumberFormat="1" applyFont="1" applyFill="1" applyBorder="1" applyAlignment="1">
      <alignment horizontal="center" vertical="center"/>
    </xf>
    <xf numFmtId="176" fontId="19" fillId="0" borderId="0" xfId="0" applyNumberFormat="1" applyFont="1" applyFill="1"/>
    <xf numFmtId="177" fontId="19" fillId="0" borderId="0" xfId="0" applyNumberFormat="1" applyFont="1" applyFill="1"/>
    <xf numFmtId="0" fontId="24" fillId="0" borderId="9" xfId="0" applyFont="1" applyBorder="1" applyAlignment="1" applyProtection="1">
      <alignment horizontal="center" vertical="center" wrapText="1"/>
      <protection locked="0"/>
    </xf>
    <xf numFmtId="176" fontId="28" fillId="0" borderId="5" xfId="0" applyNumberFormat="1" applyFont="1" applyFill="1" applyBorder="1" applyAlignment="1">
      <alignment horizontal="center" vertical="center" wrapText="1"/>
    </xf>
    <xf numFmtId="176" fontId="1" fillId="0" borderId="6" xfId="0" applyNumberFormat="1" applyFont="1" applyFill="1" applyBorder="1" applyAlignment="1">
      <alignment horizontal="center" vertical="center" wrapText="1"/>
    </xf>
    <xf numFmtId="176" fontId="30" fillId="2" borderId="6" xfId="0" applyNumberFormat="1" applyFont="1" applyFill="1" applyBorder="1" applyAlignment="1">
      <alignment horizontal="center" vertical="center" wrapText="1"/>
    </xf>
    <xf numFmtId="176" fontId="30" fillId="0" borderId="6"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176" fontId="30" fillId="2"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31" fillId="4"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176" fontId="20" fillId="0" borderId="0" xfId="0" applyNumberFormat="1" applyFont="1" applyFill="1"/>
    <xf numFmtId="176" fontId="34" fillId="0" borderId="0" xfId="0" applyNumberFormat="1" applyFont="1" applyFill="1"/>
    <xf numFmtId="176" fontId="22" fillId="0" borderId="0" xfId="0" applyNumberFormat="1" applyFont="1" applyFill="1"/>
    <xf numFmtId="0" fontId="15" fillId="0" borderId="1" xfId="0" applyNumberFormat="1" applyFont="1" applyFill="1" applyBorder="1" applyAlignment="1" applyProtection="1">
      <alignment horizontal="center" vertical="center" wrapText="1"/>
    </xf>
    <xf numFmtId="0" fontId="33" fillId="0" borderId="1" xfId="0" applyFont="1" applyFill="1" applyBorder="1" applyAlignment="1">
      <alignment vertical="center" wrapText="1"/>
    </xf>
    <xf numFmtId="0" fontId="33" fillId="0" borderId="1" xfId="0" applyFont="1" applyFill="1" applyBorder="1" applyAlignment="1">
      <alignment horizontal="center" vertical="center" wrapText="1"/>
    </xf>
    <xf numFmtId="177" fontId="33" fillId="0" borderId="9"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35" fillId="0" borderId="0" xfId="0" applyFont="1" applyFill="1" applyAlignment="1"/>
    <xf numFmtId="176" fontId="35" fillId="0" borderId="0" xfId="0" applyNumberFormat="1" applyFont="1" applyAlignment="1">
      <alignment horizontal="center"/>
    </xf>
    <xf numFmtId="176" fontId="36" fillId="0" borderId="0" xfId="0" applyNumberFormat="1" applyFont="1" applyAlignment="1">
      <alignment horizontal="center"/>
    </xf>
    <xf numFmtId="176" fontId="33" fillId="0" borderId="7" xfId="0" applyNumberFormat="1" applyFont="1" applyFill="1" applyBorder="1" applyAlignment="1">
      <alignment horizontal="center" vertical="center" wrapText="1"/>
    </xf>
    <xf numFmtId="176" fontId="33" fillId="0" borderId="9"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7" fontId="35" fillId="0" borderId="0" xfId="0" applyNumberFormat="1" applyFont="1" applyAlignment="1">
      <alignment horizontal="center"/>
    </xf>
    <xf numFmtId="176" fontId="35" fillId="0" borderId="0" xfId="0" applyNumberFormat="1" applyFont="1"/>
    <xf numFmtId="177" fontId="35" fillId="0" borderId="0" xfId="0" applyNumberFormat="1" applyFont="1"/>
    <xf numFmtId="176" fontId="18" fillId="0" borderId="0" xfId="0" applyNumberFormat="1" applyFont="1"/>
    <xf numFmtId="176" fontId="37" fillId="0" borderId="0" xfId="0" applyNumberFormat="1" applyFont="1" applyFill="1"/>
    <xf numFmtId="176" fontId="38" fillId="0" borderId="0" xfId="0" applyNumberFormat="1" applyFont="1" applyFill="1"/>
    <xf numFmtId="0" fontId="18" fillId="0" borderId="0" xfId="0" applyFont="1" applyFill="1"/>
    <xf numFmtId="0" fontId="39" fillId="0" borderId="0" xfId="0" applyFont="1" applyFill="1"/>
    <xf numFmtId="176" fontId="6" fillId="0" borderId="5" xfId="0" applyNumberFormat="1" applyFont="1" applyFill="1" applyBorder="1" applyAlignment="1">
      <alignment horizontal="center" vertical="center" wrapText="1"/>
    </xf>
    <xf numFmtId="176" fontId="6" fillId="0" borderId="6" xfId="0" applyNumberFormat="1" applyFont="1" applyFill="1" applyBorder="1" applyAlignment="1">
      <alignment horizontal="center" vertical="center" wrapText="1"/>
    </xf>
    <xf numFmtId="176" fontId="7" fillId="0" borderId="6"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40" fillId="0" borderId="6" xfId="0" applyFont="1" applyFill="1" applyBorder="1" applyAlignment="1">
      <alignment horizontal="center" vertical="center" wrapText="1"/>
    </xf>
    <xf numFmtId="0" fontId="41" fillId="0" borderId="6"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40" fillId="0" borderId="2" xfId="0" applyFont="1" applyFill="1" applyBorder="1" applyAlignment="1">
      <alignment horizontal="center" vertical="center" wrapText="1"/>
    </xf>
    <xf numFmtId="0" fontId="41" fillId="0" borderId="2" xfId="0" applyFont="1" applyFill="1" applyBorder="1" applyAlignment="1">
      <alignment horizontal="center" vertical="center" wrapText="1"/>
    </xf>
    <xf numFmtId="176" fontId="36" fillId="0" borderId="0" xfId="0" applyNumberFormat="1" applyFont="1"/>
    <xf numFmtId="176" fontId="42" fillId="0" borderId="0" xfId="0" applyNumberFormat="1" applyFont="1"/>
    <xf numFmtId="176" fontId="37" fillId="0" borderId="0" xfId="0" applyNumberFormat="1" applyFont="1"/>
    <xf numFmtId="0" fontId="33" fillId="0" borderId="7" xfId="0" applyFont="1" applyFill="1" applyBorder="1" applyAlignment="1">
      <alignment vertical="center" wrapText="1"/>
    </xf>
    <xf numFmtId="178" fontId="31"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66"/>
  <sheetViews>
    <sheetView zoomScale="40" zoomScaleNormal="40" workbookViewId="0">
      <pane ySplit="3" topLeftCell="A15" activePane="bottomLeft" state="frozen"/>
      <selection/>
      <selection pane="bottomLeft" activeCell="A15" sqref="$A15:$XFD15"/>
    </sheetView>
  </sheetViews>
  <sheetFormatPr defaultColWidth="8.87387387387387" defaultRowHeight="14.1"/>
  <cols>
    <col min="1" max="1" width="15.0540540540541" customWidth="1"/>
    <col min="2" max="2" width="66.8288288288288" style="65" customWidth="1"/>
    <col min="3" max="3" width="28.5675675675676" style="66" customWidth="1"/>
    <col min="4" max="4" width="15.8108108108108" style="67" customWidth="1"/>
    <col min="5" max="5" width="20.2612612612613" style="66" customWidth="1"/>
    <col min="6" max="6" width="27.045045045045" style="68" customWidth="1"/>
    <col min="7" max="7" width="23.7477477477477" style="68" customWidth="1"/>
    <col min="8" max="8" width="29.5945945945946" style="66" customWidth="1"/>
    <col min="9" max="9" width="14.1351351351351" style="67" customWidth="1"/>
    <col min="10" max="10" width="18.1261261261261" style="66" customWidth="1"/>
    <col min="11" max="12" width="27.4954954954955" style="68" customWidth="1"/>
    <col min="13" max="13" width="25.6576576576577" style="69" customWidth="1"/>
    <col min="14" max="14" width="17.2522522522523" style="70" customWidth="1"/>
    <col min="15" max="15" width="19.3873873873874" style="69" customWidth="1"/>
    <col min="16" max="16" width="20.4954954954955" style="71" customWidth="1"/>
    <col min="17" max="18" width="26.2522522522523" style="72" customWidth="1"/>
    <col min="19" max="19" width="21.3063063063063" style="73" customWidth="1"/>
    <col min="20" max="21" width="21.3063063063063" style="74" customWidth="1"/>
    <col min="22" max="22" width="32.9009009009009" customWidth="1"/>
  </cols>
  <sheetData>
    <row r="1" ht="93" customHeight="1" spans="1:22">
      <c r="A1" s="76" t="s">
        <v>0</v>
      </c>
      <c r="B1" s="77"/>
      <c r="C1" s="78"/>
      <c r="D1" s="79"/>
      <c r="E1" s="78"/>
      <c r="F1" s="80"/>
      <c r="G1" s="80"/>
      <c r="H1" s="78"/>
      <c r="I1" s="79"/>
      <c r="J1" s="78"/>
      <c r="K1" s="80"/>
      <c r="L1" s="80"/>
      <c r="M1" s="78"/>
      <c r="N1" s="79"/>
      <c r="O1" s="78"/>
      <c r="P1" s="99"/>
      <c r="Q1" s="80"/>
      <c r="R1" s="80"/>
      <c r="S1" s="99"/>
      <c r="T1" s="80"/>
      <c r="U1" s="80"/>
      <c r="V1" s="109"/>
    </row>
    <row r="2" ht="80" customHeight="1" spans="1:22">
      <c r="A2" s="1" t="s">
        <v>1</v>
      </c>
      <c r="B2" s="2" t="s">
        <v>2</v>
      </c>
      <c r="C2" s="81" t="s">
        <v>3</v>
      </c>
      <c r="D2" s="82"/>
      <c r="E2" s="81"/>
      <c r="F2" s="83"/>
      <c r="G2" s="83"/>
      <c r="H2" s="81"/>
      <c r="I2" s="82"/>
      <c r="J2" s="81"/>
      <c r="K2" s="83"/>
      <c r="L2" s="83"/>
      <c r="M2" s="100" t="s">
        <v>4</v>
      </c>
      <c r="N2" s="101"/>
      <c r="O2" s="102"/>
      <c r="P2" s="103"/>
      <c r="Q2" s="103"/>
      <c r="R2" s="110"/>
      <c r="S2" s="111" t="s">
        <v>5</v>
      </c>
      <c r="T2" s="113" t="s">
        <v>6</v>
      </c>
      <c r="U2" s="113" t="s">
        <v>7</v>
      </c>
      <c r="V2" s="114" t="s">
        <v>8</v>
      </c>
    </row>
    <row r="3" ht="85" customHeight="1" spans="1:22">
      <c r="A3" s="1"/>
      <c r="B3" s="2"/>
      <c r="C3" s="84" t="s">
        <v>9</v>
      </c>
      <c r="D3" s="85" t="s">
        <v>10</v>
      </c>
      <c r="E3" s="84" t="s">
        <v>11</v>
      </c>
      <c r="F3" s="87" t="s">
        <v>12</v>
      </c>
      <c r="G3" s="87" t="s">
        <v>13</v>
      </c>
      <c r="H3" s="84" t="s">
        <v>14</v>
      </c>
      <c r="I3" s="85" t="s">
        <v>10</v>
      </c>
      <c r="J3" s="84" t="s">
        <v>11</v>
      </c>
      <c r="K3" s="87" t="s">
        <v>12</v>
      </c>
      <c r="L3" s="87" t="s">
        <v>13</v>
      </c>
      <c r="M3" s="104" t="s">
        <v>15</v>
      </c>
      <c r="N3" s="85" t="s">
        <v>10</v>
      </c>
      <c r="O3" s="104" t="s">
        <v>11</v>
      </c>
      <c r="P3" s="105" t="s">
        <v>16</v>
      </c>
      <c r="Q3" s="116" t="s">
        <v>12</v>
      </c>
      <c r="R3" s="116" t="s">
        <v>13</v>
      </c>
      <c r="S3" s="117"/>
      <c r="T3" s="87"/>
      <c r="U3" s="87"/>
      <c r="V3" s="118"/>
    </row>
    <row r="4" ht="45" customHeight="1" spans="1:22">
      <c r="A4" s="3">
        <v>1</v>
      </c>
      <c r="B4" s="4" t="s">
        <v>17</v>
      </c>
      <c r="C4" s="88">
        <v>27961</v>
      </c>
      <c r="D4" s="89">
        <v>95</v>
      </c>
      <c r="E4" s="88">
        <v>137.2</v>
      </c>
      <c r="F4" s="90">
        <v>137.2</v>
      </c>
      <c r="G4" s="90">
        <f>F4-E4</f>
        <v>0</v>
      </c>
      <c r="H4" s="88">
        <v>8250</v>
      </c>
      <c r="I4" s="89">
        <v>8</v>
      </c>
      <c r="J4" s="88">
        <v>33.61</v>
      </c>
      <c r="K4" s="90">
        <v>33.61</v>
      </c>
      <c r="L4" s="90">
        <f>K4-J4</f>
        <v>0</v>
      </c>
      <c r="M4" s="88">
        <v>146988.7</v>
      </c>
      <c r="N4" s="89">
        <v>2363</v>
      </c>
      <c r="O4" s="88">
        <v>273.05</v>
      </c>
      <c r="P4" s="106">
        <f t="shared" ref="P4:P12" si="0">500-Q4</f>
        <v>226.95</v>
      </c>
      <c r="Q4" s="90">
        <v>273.05</v>
      </c>
      <c r="R4" s="90">
        <v>0</v>
      </c>
      <c r="S4" s="93">
        <f>SUM(E4,J4,O4)</f>
        <v>443.86</v>
      </c>
      <c r="T4" s="90">
        <f>SUM(F4,K4,Q4)</f>
        <v>443.86</v>
      </c>
      <c r="U4" s="90">
        <f>SUM(G4,L4,R4)</f>
        <v>0</v>
      </c>
      <c r="V4" s="161"/>
    </row>
    <row r="5" ht="45" customHeight="1" spans="1:22">
      <c r="A5" s="3">
        <v>2</v>
      </c>
      <c r="B5" s="4" t="s">
        <v>18</v>
      </c>
      <c r="C5" s="88">
        <v>5939</v>
      </c>
      <c r="D5" s="89">
        <v>27</v>
      </c>
      <c r="E5" s="88">
        <v>24.77</v>
      </c>
      <c r="F5" s="90">
        <v>24.77</v>
      </c>
      <c r="G5" s="90">
        <f t="shared" ref="G5:G36" si="1">F5-E5</f>
        <v>0</v>
      </c>
      <c r="H5" s="88">
        <v>14094</v>
      </c>
      <c r="I5" s="89">
        <v>12</v>
      </c>
      <c r="J5" s="88">
        <v>57.64</v>
      </c>
      <c r="K5" s="90">
        <v>55.79</v>
      </c>
      <c r="L5" s="90">
        <f t="shared" ref="L5:L36" si="2">K5-J5</f>
        <v>-1.85</v>
      </c>
      <c r="M5" s="88">
        <v>0</v>
      </c>
      <c r="N5" s="89">
        <v>0</v>
      </c>
      <c r="O5" s="88">
        <v>0</v>
      </c>
      <c r="P5" s="106">
        <f t="shared" si="0"/>
        <v>500</v>
      </c>
      <c r="Q5" s="90">
        <v>0</v>
      </c>
      <c r="R5" s="90">
        <v>0</v>
      </c>
      <c r="S5" s="93">
        <f t="shared" ref="S5:S36" si="3">SUM(E5,J5,O5)</f>
        <v>82.41</v>
      </c>
      <c r="T5" s="90">
        <f t="shared" ref="T5:T36" si="4">SUM(F5,K5,Q5)</f>
        <v>80.56</v>
      </c>
      <c r="U5" s="90">
        <f t="shared" ref="U5:U36" si="5">SUM(G5,L5,R5)</f>
        <v>-1.85</v>
      </c>
      <c r="V5" s="120"/>
    </row>
    <row r="6" ht="45" customHeight="1" spans="1:22">
      <c r="A6" s="3">
        <v>3</v>
      </c>
      <c r="B6" s="4" t="s">
        <v>19</v>
      </c>
      <c r="C6" s="88">
        <v>33258.93</v>
      </c>
      <c r="D6" s="89">
        <v>182</v>
      </c>
      <c r="E6" s="88">
        <v>163.87</v>
      </c>
      <c r="F6" s="90">
        <v>163.87</v>
      </c>
      <c r="G6" s="90">
        <f t="shared" si="1"/>
        <v>0</v>
      </c>
      <c r="H6" s="88">
        <v>17289</v>
      </c>
      <c r="I6" s="89">
        <v>13</v>
      </c>
      <c r="J6" s="88">
        <v>85.56</v>
      </c>
      <c r="K6" s="90">
        <v>85.06</v>
      </c>
      <c r="L6" s="90">
        <f t="shared" si="2"/>
        <v>-0.5</v>
      </c>
      <c r="M6" s="88">
        <v>13688.6</v>
      </c>
      <c r="N6" s="89">
        <v>166</v>
      </c>
      <c r="O6" s="88">
        <v>27.47</v>
      </c>
      <c r="P6" s="106">
        <f t="shared" si="0"/>
        <v>472.53</v>
      </c>
      <c r="Q6" s="90">
        <v>27.47</v>
      </c>
      <c r="R6" s="90">
        <v>0</v>
      </c>
      <c r="S6" s="93">
        <f t="shared" si="3"/>
        <v>276.9</v>
      </c>
      <c r="T6" s="90">
        <f t="shared" si="4"/>
        <v>276.4</v>
      </c>
      <c r="U6" s="90">
        <f t="shared" si="5"/>
        <v>-0.5</v>
      </c>
      <c r="V6" s="120"/>
    </row>
    <row r="7" ht="45" customHeight="1" spans="1:22">
      <c r="A7" s="3">
        <v>4</v>
      </c>
      <c r="B7" s="4" t="s">
        <v>20</v>
      </c>
      <c r="C7" s="88">
        <v>0</v>
      </c>
      <c r="D7" s="89">
        <v>0</v>
      </c>
      <c r="E7" s="88">
        <v>0</v>
      </c>
      <c r="F7" s="90">
        <v>0</v>
      </c>
      <c r="G7" s="90">
        <f t="shared" si="1"/>
        <v>0</v>
      </c>
      <c r="H7" s="88">
        <v>0</v>
      </c>
      <c r="I7" s="89">
        <v>0</v>
      </c>
      <c r="J7" s="88">
        <v>0</v>
      </c>
      <c r="K7" s="90">
        <v>0</v>
      </c>
      <c r="L7" s="90">
        <f t="shared" si="2"/>
        <v>0</v>
      </c>
      <c r="M7" s="88">
        <v>0</v>
      </c>
      <c r="N7" s="89">
        <v>0</v>
      </c>
      <c r="O7" s="88">
        <v>0</v>
      </c>
      <c r="P7" s="106">
        <f t="shared" si="0"/>
        <v>500</v>
      </c>
      <c r="Q7" s="90">
        <v>0</v>
      </c>
      <c r="R7" s="90">
        <v>0</v>
      </c>
      <c r="S7" s="93">
        <f t="shared" si="3"/>
        <v>0</v>
      </c>
      <c r="T7" s="90">
        <f t="shared" si="4"/>
        <v>0</v>
      </c>
      <c r="U7" s="90">
        <f t="shared" si="5"/>
        <v>0</v>
      </c>
      <c r="V7" s="120"/>
    </row>
    <row r="8" ht="45" customHeight="1" spans="1:22">
      <c r="A8" s="3">
        <v>5</v>
      </c>
      <c r="B8" s="4" t="s">
        <v>21</v>
      </c>
      <c r="C8" s="88">
        <v>23923.527369</v>
      </c>
      <c r="D8" s="89">
        <v>75</v>
      </c>
      <c r="E8" s="88">
        <v>118.52</v>
      </c>
      <c r="F8" s="90">
        <v>118.52</v>
      </c>
      <c r="G8" s="90">
        <f t="shared" si="1"/>
        <v>0</v>
      </c>
      <c r="H8" s="88">
        <v>19586</v>
      </c>
      <c r="I8" s="89">
        <v>23</v>
      </c>
      <c r="J8" s="88">
        <v>97.17</v>
      </c>
      <c r="K8" s="90">
        <v>97.17</v>
      </c>
      <c r="L8" s="90">
        <f t="shared" si="2"/>
        <v>0</v>
      </c>
      <c r="M8" s="88">
        <v>28101.7</v>
      </c>
      <c r="N8" s="89">
        <v>220</v>
      </c>
      <c r="O8" s="88">
        <v>56.06</v>
      </c>
      <c r="P8" s="106">
        <f t="shared" si="0"/>
        <v>443.94</v>
      </c>
      <c r="Q8" s="90">
        <v>56.06</v>
      </c>
      <c r="R8" s="90">
        <v>0</v>
      </c>
      <c r="S8" s="93">
        <f t="shared" si="3"/>
        <v>271.75</v>
      </c>
      <c r="T8" s="90">
        <f t="shared" si="4"/>
        <v>271.75</v>
      </c>
      <c r="U8" s="90">
        <f t="shared" si="5"/>
        <v>0</v>
      </c>
      <c r="V8" s="120"/>
    </row>
    <row r="9" ht="45" customHeight="1" spans="1:22">
      <c r="A9" s="3">
        <v>6</v>
      </c>
      <c r="B9" s="4" t="s">
        <v>22</v>
      </c>
      <c r="C9" s="88">
        <v>3816</v>
      </c>
      <c r="D9" s="89">
        <v>22</v>
      </c>
      <c r="E9" s="88">
        <v>19.07</v>
      </c>
      <c r="F9" s="90">
        <v>19.07</v>
      </c>
      <c r="G9" s="90">
        <f t="shared" si="1"/>
        <v>0</v>
      </c>
      <c r="H9" s="88">
        <v>5350</v>
      </c>
      <c r="I9" s="89">
        <v>4</v>
      </c>
      <c r="J9" s="88">
        <v>23.21</v>
      </c>
      <c r="K9" s="90">
        <v>22.21</v>
      </c>
      <c r="L9" s="90">
        <f t="shared" si="2"/>
        <v>-1</v>
      </c>
      <c r="M9" s="88">
        <v>0</v>
      </c>
      <c r="N9" s="89">
        <v>0</v>
      </c>
      <c r="O9" s="88">
        <v>0</v>
      </c>
      <c r="P9" s="106">
        <f t="shared" si="0"/>
        <v>500</v>
      </c>
      <c r="Q9" s="90">
        <v>0</v>
      </c>
      <c r="R9" s="90">
        <v>0</v>
      </c>
      <c r="S9" s="93">
        <f t="shared" si="3"/>
        <v>42.28</v>
      </c>
      <c r="T9" s="90">
        <f t="shared" si="4"/>
        <v>41.28</v>
      </c>
      <c r="U9" s="90">
        <f t="shared" si="5"/>
        <v>-1</v>
      </c>
      <c r="V9" s="120"/>
    </row>
    <row r="10" ht="45" customHeight="1" spans="1:22">
      <c r="A10" s="3">
        <v>7</v>
      </c>
      <c r="B10" s="4" t="s">
        <v>23</v>
      </c>
      <c r="C10" s="88">
        <v>6925</v>
      </c>
      <c r="D10" s="89">
        <v>31</v>
      </c>
      <c r="E10" s="88">
        <v>34.21</v>
      </c>
      <c r="F10" s="90">
        <v>34.21</v>
      </c>
      <c r="G10" s="90">
        <f t="shared" si="1"/>
        <v>0</v>
      </c>
      <c r="H10" s="88">
        <v>750</v>
      </c>
      <c r="I10" s="89">
        <v>1</v>
      </c>
      <c r="J10" s="88">
        <v>3.74</v>
      </c>
      <c r="K10" s="90">
        <v>3.74</v>
      </c>
      <c r="L10" s="90">
        <f t="shared" si="2"/>
        <v>0</v>
      </c>
      <c r="M10" s="88">
        <v>14518.8</v>
      </c>
      <c r="N10" s="89">
        <v>125</v>
      </c>
      <c r="O10" s="88">
        <v>28.98</v>
      </c>
      <c r="P10" s="106">
        <f t="shared" si="0"/>
        <v>471.02</v>
      </c>
      <c r="Q10" s="90">
        <v>28.98</v>
      </c>
      <c r="R10" s="90">
        <v>0</v>
      </c>
      <c r="S10" s="93">
        <f t="shared" si="3"/>
        <v>66.93</v>
      </c>
      <c r="T10" s="90">
        <f t="shared" si="4"/>
        <v>66.93</v>
      </c>
      <c r="U10" s="90">
        <f t="shared" si="5"/>
        <v>0</v>
      </c>
      <c r="V10" s="120"/>
    </row>
    <row r="11" ht="45" customHeight="1" spans="1:22">
      <c r="A11" s="3">
        <v>8</v>
      </c>
      <c r="B11" s="4" t="s">
        <v>24</v>
      </c>
      <c r="C11" s="88">
        <v>19120</v>
      </c>
      <c r="D11" s="89">
        <v>73</v>
      </c>
      <c r="E11" s="88">
        <v>94.85</v>
      </c>
      <c r="F11" s="90">
        <v>94.85</v>
      </c>
      <c r="G11" s="90">
        <f t="shared" si="1"/>
        <v>0</v>
      </c>
      <c r="H11" s="88">
        <v>16600</v>
      </c>
      <c r="I11" s="89">
        <v>19</v>
      </c>
      <c r="J11" s="88">
        <v>81.82</v>
      </c>
      <c r="K11" s="90">
        <v>81.82</v>
      </c>
      <c r="L11" s="90">
        <f t="shared" si="2"/>
        <v>0</v>
      </c>
      <c r="M11" s="88">
        <v>16951</v>
      </c>
      <c r="N11" s="89">
        <v>112</v>
      </c>
      <c r="O11" s="88">
        <v>33.91</v>
      </c>
      <c r="P11" s="106">
        <f t="shared" si="0"/>
        <v>466.09</v>
      </c>
      <c r="Q11" s="90">
        <v>33.91</v>
      </c>
      <c r="R11" s="90">
        <v>0</v>
      </c>
      <c r="S11" s="93">
        <f t="shared" si="3"/>
        <v>210.58</v>
      </c>
      <c r="T11" s="90">
        <f t="shared" si="4"/>
        <v>210.58</v>
      </c>
      <c r="U11" s="90">
        <f t="shared" si="5"/>
        <v>0</v>
      </c>
      <c r="V11" s="120"/>
    </row>
    <row r="12" ht="45" customHeight="1" spans="1:22">
      <c r="A12" s="3">
        <v>9</v>
      </c>
      <c r="B12" s="4" t="s">
        <v>25</v>
      </c>
      <c r="C12" s="88">
        <v>13345</v>
      </c>
      <c r="D12" s="89">
        <v>120</v>
      </c>
      <c r="E12" s="88">
        <v>63.56</v>
      </c>
      <c r="F12" s="90">
        <v>61.06</v>
      </c>
      <c r="G12" s="90">
        <f t="shared" si="1"/>
        <v>-2.5</v>
      </c>
      <c r="H12" s="88">
        <v>5850</v>
      </c>
      <c r="I12" s="89">
        <v>7</v>
      </c>
      <c r="J12" s="88">
        <v>25.79</v>
      </c>
      <c r="K12" s="90">
        <v>25.79</v>
      </c>
      <c r="L12" s="90">
        <f t="shared" si="2"/>
        <v>0</v>
      </c>
      <c r="M12" s="88">
        <v>34641.1</v>
      </c>
      <c r="N12" s="89">
        <v>410</v>
      </c>
      <c r="O12" s="88">
        <v>69.28</v>
      </c>
      <c r="P12" s="106">
        <f t="shared" si="0"/>
        <v>430.72</v>
      </c>
      <c r="Q12" s="90">
        <v>69.28</v>
      </c>
      <c r="R12" s="90">
        <v>0</v>
      </c>
      <c r="S12" s="93">
        <f t="shared" si="3"/>
        <v>158.63</v>
      </c>
      <c r="T12" s="90">
        <f t="shared" si="4"/>
        <v>156.13</v>
      </c>
      <c r="U12" s="90">
        <f t="shared" si="5"/>
        <v>-2.5</v>
      </c>
      <c r="V12" s="120"/>
    </row>
    <row r="13" ht="45" customHeight="1" spans="1:22">
      <c r="A13" s="3">
        <v>10</v>
      </c>
      <c r="B13" s="4" t="s">
        <v>26</v>
      </c>
      <c r="C13" s="88">
        <v>53094</v>
      </c>
      <c r="D13" s="89">
        <v>133</v>
      </c>
      <c r="E13" s="88">
        <v>261.03</v>
      </c>
      <c r="F13" s="90">
        <v>258.53</v>
      </c>
      <c r="G13" s="90">
        <f t="shared" si="1"/>
        <v>-2.5</v>
      </c>
      <c r="H13" s="88">
        <v>10680</v>
      </c>
      <c r="I13" s="89">
        <v>13</v>
      </c>
      <c r="J13" s="88">
        <v>53.27</v>
      </c>
      <c r="K13" s="90">
        <v>49.27</v>
      </c>
      <c r="L13" s="90">
        <f t="shared" si="2"/>
        <v>-4</v>
      </c>
      <c r="M13" s="88">
        <v>38445.4</v>
      </c>
      <c r="N13" s="89">
        <v>313</v>
      </c>
      <c r="O13" s="88">
        <v>76.89</v>
      </c>
      <c r="P13" s="106">
        <f t="shared" ref="P13:P60" si="6">500-Q13</f>
        <v>423.24</v>
      </c>
      <c r="Q13" s="90">
        <v>76.76</v>
      </c>
      <c r="R13" s="90">
        <v>-0.129999999999995</v>
      </c>
      <c r="S13" s="93">
        <f t="shared" si="3"/>
        <v>391.19</v>
      </c>
      <c r="T13" s="90">
        <f t="shared" si="4"/>
        <v>384.56</v>
      </c>
      <c r="U13" s="90">
        <f t="shared" si="5"/>
        <v>-6.63</v>
      </c>
      <c r="V13" s="120"/>
    </row>
    <row r="14" ht="45" customHeight="1" spans="1:22">
      <c r="A14" s="3">
        <v>11</v>
      </c>
      <c r="B14" s="4" t="s">
        <v>27</v>
      </c>
      <c r="C14" s="88">
        <v>16289</v>
      </c>
      <c r="D14" s="89">
        <v>70</v>
      </c>
      <c r="E14" s="88">
        <v>81.46</v>
      </c>
      <c r="F14" s="90">
        <v>62.13</v>
      </c>
      <c r="G14" s="90">
        <f t="shared" si="1"/>
        <v>-19.33</v>
      </c>
      <c r="H14" s="88">
        <v>5400</v>
      </c>
      <c r="I14" s="89">
        <v>6</v>
      </c>
      <c r="J14" s="88">
        <v>26</v>
      </c>
      <c r="K14" s="90">
        <v>15.66</v>
      </c>
      <c r="L14" s="90">
        <f t="shared" si="2"/>
        <v>-10.34</v>
      </c>
      <c r="M14" s="88">
        <v>42952.6</v>
      </c>
      <c r="N14" s="89">
        <v>489</v>
      </c>
      <c r="O14" s="88">
        <v>85.87</v>
      </c>
      <c r="P14" s="106">
        <f t="shared" si="6"/>
        <v>414.19</v>
      </c>
      <c r="Q14" s="90">
        <v>85.8100000000001</v>
      </c>
      <c r="R14" s="90">
        <v>-0.0599999999999028</v>
      </c>
      <c r="S14" s="93">
        <f t="shared" si="3"/>
        <v>193.33</v>
      </c>
      <c r="T14" s="90">
        <f t="shared" si="4"/>
        <v>163.6</v>
      </c>
      <c r="U14" s="90">
        <f t="shared" si="5"/>
        <v>-29.7299999999999</v>
      </c>
      <c r="V14" s="120"/>
    </row>
    <row r="15" ht="45" customHeight="1" spans="1:22">
      <c r="A15" s="3">
        <v>12</v>
      </c>
      <c r="B15" s="4" t="s">
        <v>28</v>
      </c>
      <c r="C15" s="88">
        <v>6155</v>
      </c>
      <c r="D15" s="89">
        <v>28</v>
      </c>
      <c r="E15" s="88">
        <v>29.7</v>
      </c>
      <c r="F15" s="90">
        <v>25.84</v>
      </c>
      <c r="G15" s="90">
        <f t="shared" si="1"/>
        <v>-3.86</v>
      </c>
      <c r="H15" s="88">
        <v>5730</v>
      </c>
      <c r="I15" s="89">
        <v>7</v>
      </c>
      <c r="J15" s="88">
        <v>22.71</v>
      </c>
      <c r="K15" s="90">
        <v>12.06</v>
      </c>
      <c r="L15" s="90">
        <f t="shared" si="2"/>
        <v>-10.65</v>
      </c>
      <c r="M15" s="88">
        <v>0</v>
      </c>
      <c r="N15" s="89">
        <v>0</v>
      </c>
      <c r="O15" s="88">
        <v>0</v>
      </c>
      <c r="P15" s="106">
        <f t="shared" si="6"/>
        <v>500</v>
      </c>
      <c r="Q15" s="90">
        <v>0</v>
      </c>
      <c r="R15" s="90">
        <v>0</v>
      </c>
      <c r="S15" s="93">
        <f t="shared" si="3"/>
        <v>52.41</v>
      </c>
      <c r="T15" s="90">
        <f t="shared" si="4"/>
        <v>37.9</v>
      </c>
      <c r="U15" s="90">
        <f t="shared" si="5"/>
        <v>-14.51</v>
      </c>
      <c r="V15" s="120"/>
    </row>
    <row r="16" ht="45" customHeight="1" spans="1:22">
      <c r="A16" s="3">
        <v>13</v>
      </c>
      <c r="B16" s="4" t="s">
        <v>29</v>
      </c>
      <c r="C16" s="88">
        <v>21790</v>
      </c>
      <c r="D16" s="89">
        <v>119</v>
      </c>
      <c r="E16" s="88">
        <v>108.97</v>
      </c>
      <c r="F16" s="90">
        <v>106.75</v>
      </c>
      <c r="G16" s="90">
        <f t="shared" si="1"/>
        <v>-2.22</v>
      </c>
      <c r="H16" s="88">
        <v>4000</v>
      </c>
      <c r="I16" s="89">
        <v>5</v>
      </c>
      <c r="J16" s="88">
        <v>19.98</v>
      </c>
      <c r="K16" s="90">
        <v>14.98</v>
      </c>
      <c r="L16" s="90">
        <f t="shared" si="2"/>
        <v>-5</v>
      </c>
      <c r="M16" s="88">
        <v>29076.5</v>
      </c>
      <c r="N16" s="89">
        <v>396</v>
      </c>
      <c r="O16" s="88">
        <v>58.11</v>
      </c>
      <c r="P16" s="106">
        <f t="shared" si="6"/>
        <v>441.89</v>
      </c>
      <c r="Q16" s="90">
        <v>58.11</v>
      </c>
      <c r="R16" s="90">
        <v>0</v>
      </c>
      <c r="S16" s="93">
        <f t="shared" si="3"/>
        <v>187.06</v>
      </c>
      <c r="T16" s="90">
        <f t="shared" si="4"/>
        <v>179.84</v>
      </c>
      <c r="U16" s="90">
        <f t="shared" si="5"/>
        <v>-7.22</v>
      </c>
      <c r="V16" s="120"/>
    </row>
    <row r="17" ht="45" customHeight="1" spans="1:22">
      <c r="A17" s="3">
        <v>14</v>
      </c>
      <c r="B17" s="4" t="s">
        <v>30</v>
      </c>
      <c r="C17" s="88">
        <v>0</v>
      </c>
      <c r="D17" s="89">
        <v>0</v>
      </c>
      <c r="E17" s="88">
        <v>0</v>
      </c>
      <c r="F17" s="90">
        <v>0</v>
      </c>
      <c r="G17" s="90">
        <f t="shared" si="1"/>
        <v>0</v>
      </c>
      <c r="H17" s="88">
        <v>0</v>
      </c>
      <c r="I17" s="89">
        <v>0</v>
      </c>
      <c r="J17" s="88">
        <v>0</v>
      </c>
      <c r="K17" s="90">
        <v>0</v>
      </c>
      <c r="L17" s="90">
        <f t="shared" si="2"/>
        <v>0</v>
      </c>
      <c r="M17" s="88">
        <v>0</v>
      </c>
      <c r="N17" s="89">
        <v>0</v>
      </c>
      <c r="O17" s="88">
        <v>0</v>
      </c>
      <c r="P17" s="106">
        <f t="shared" si="6"/>
        <v>500</v>
      </c>
      <c r="Q17" s="90">
        <v>0</v>
      </c>
      <c r="R17" s="90">
        <v>0</v>
      </c>
      <c r="S17" s="93">
        <f t="shared" si="3"/>
        <v>0</v>
      </c>
      <c r="T17" s="90">
        <f t="shared" si="4"/>
        <v>0</v>
      </c>
      <c r="U17" s="90">
        <f t="shared" si="5"/>
        <v>0</v>
      </c>
      <c r="V17" s="120"/>
    </row>
    <row r="18" ht="45" customHeight="1" spans="1:22">
      <c r="A18" s="3">
        <v>15</v>
      </c>
      <c r="B18" s="4" t="s">
        <v>31</v>
      </c>
      <c r="C18" s="88">
        <v>400</v>
      </c>
      <c r="D18" s="89">
        <v>1</v>
      </c>
      <c r="E18" s="88">
        <v>1.99</v>
      </c>
      <c r="F18" s="90">
        <v>1.99</v>
      </c>
      <c r="G18" s="90">
        <f t="shared" si="1"/>
        <v>0</v>
      </c>
      <c r="H18" s="88">
        <v>7020</v>
      </c>
      <c r="I18" s="89">
        <v>8</v>
      </c>
      <c r="J18" s="88">
        <v>35.04</v>
      </c>
      <c r="K18" s="90">
        <v>35.04</v>
      </c>
      <c r="L18" s="90">
        <f t="shared" si="2"/>
        <v>0</v>
      </c>
      <c r="M18" s="88">
        <v>0</v>
      </c>
      <c r="N18" s="89">
        <v>0</v>
      </c>
      <c r="O18" s="88">
        <v>0</v>
      </c>
      <c r="P18" s="106">
        <f t="shared" si="6"/>
        <v>500</v>
      </c>
      <c r="Q18" s="90">
        <v>0</v>
      </c>
      <c r="R18" s="90">
        <v>0</v>
      </c>
      <c r="S18" s="93">
        <f t="shared" si="3"/>
        <v>37.03</v>
      </c>
      <c r="T18" s="90">
        <f t="shared" si="4"/>
        <v>37.03</v>
      </c>
      <c r="U18" s="90">
        <f t="shared" si="5"/>
        <v>0</v>
      </c>
      <c r="V18" s="120"/>
    </row>
    <row r="19" ht="45" customHeight="1" spans="1:22">
      <c r="A19" s="3">
        <v>16</v>
      </c>
      <c r="B19" s="4" t="s">
        <v>32</v>
      </c>
      <c r="C19" s="88">
        <v>23268</v>
      </c>
      <c r="D19" s="89">
        <v>80</v>
      </c>
      <c r="E19" s="88">
        <v>116.02</v>
      </c>
      <c r="F19" s="90">
        <v>114.95</v>
      </c>
      <c r="G19" s="90">
        <f t="shared" si="1"/>
        <v>-1.06999999999999</v>
      </c>
      <c r="H19" s="88">
        <v>0</v>
      </c>
      <c r="I19" s="89">
        <v>0</v>
      </c>
      <c r="J19" s="88">
        <v>0</v>
      </c>
      <c r="K19" s="90">
        <v>0</v>
      </c>
      <c r="L19" s="90">
        <f t="shared" si="2"/>
        <v>0</v>
      </c>
      <c r="M19" s="88">
        <v>1877.8</v>
      </c>
      <c r="N19" s="89">
        <v>6</v>
      </c>
      <c r="O19" s="88">
        <v>3.75</v>
      </c>
      <c r="P19" s="106">
        <f t="shared" si="6"/>
        <v>496.25</v>
      </c>
      <c r="Q19" s="90">
        <v>3.75</v>
      </c>
      <c r="R19" s="90">
        <v>0</v>
      </c>
      <c r="S19" s="93">
        <f t="shared" si="3"/>
        <v>119.77</v>
      </c>
      <c r="T19" s="90">
        <f t="shared" si="4"/>
        <v>118.7</v>
      </c>
      <c r="U19" s="90">
        <f t="shared" si="5"/>
        <v>-1.06999999999999</v>
      </c>
      <c r="V19" s="120"/>
    </row>
    <row r="20" ht="45" customHeight="1" spans="1:22">
      <c r="A20" s="3">
        <v>17</v>
      </c>
      <c r="B20" s="4" t="s">
        <v>33</v>
      </c>
      <c r="C20" s="88">
        <v>3973</v>
      </c>
      <c r="D20" s="89">
        <v>17</v>
      </c>
      <c r="E20" s="88">
        <v>19.59</v>
      </c>
      <c r="F20" s="90">
        <v>19.59</v>
      </c>
      <c r="G20" s="90">
        <f t="shared" si="1"/>
        <v>0</v>
      </c>
      <c r="H20" s="88">
        <v>0</v>
      </c>
      <c r="I20" s="89">
        <v>0</v>
      </c>
      <c r="J20" s="88">
        <v>0</v>
      </c>
      <c r="K20" s="90">
        <v>0</v>
      </c>
      <c r="L20" s="90">
        <f t="shared" si="2"/>
        <v>0</v>
      </c>
      <c r="M20" s="88">
        <v>0</v>
      </c>
      <c r="N20" s="89">
        <v>0</v>
      </c>
      <c r="O20" s="88">
        <v>0</v>
      </c>
      <c r="P20" s="106">
        <f t="shared" si="6"/>
        <v>500</v>
      </c>
      <c r="Q20" s="90">
        <v>0</v>
      </c>
      <c r="R20" s="90">
        <v>0</v>
      </c>
      <c r="S20" s="93">
        <f t="shared" si="3"/>
        <v>19.59</v>
      </c>
      <c r="T20" s="90">
        <f t="shared" si="4"/>
        <v>19.59</v>
      </c>
      <c r="U20" s="90">
        <f t="shared" si="5"/>
        <v>0</v>
      </c>
      <c r="V20" s="120"/>
    </row>
    <row r="21" ht="45" customHeight="1" spans="1:22">
      <c r="A21" s="3">
        <v>18</v>
      </c>
      <c r="B21" s="4" t="s">
        <v>34</v>
      </c>
      <c r="C21" s="88">
        <v>10488</v>
      </c>
      <c r="D21" s="89">
        <v>42</v>
      </c>
      <c r="E21" s="88">
        <v>50.95</v>
      </c>
      <c r="F21" s="90">
        <v>50.95</v>
      </c>
      <c r="G21" s="90">
        <f t="shared" si="1"/>
        <v>0</v>
      </c>
      <c r="H21" s="88">
        <v>7083</v>
      </c>
      <c r="I21" s="89">
        <v>8</v>
      </c>
      <c r="J21" s="88">
        <v>35.02</v>
      </c>
      <c r="K21" s="90">
        <v>32.85</v>
      </c>
      <c r="L21" s="90">
        <f t="shared" si="2"/>
        <v>-2.17</v>
      </c>
      <c r="M21" s="88">
        <v>0</v>
      </c>
      <c r="N21" s="89">
        <v>0</v>
      </c>
      <c r="O21" s="88">
        <v>0</v>
      </c>
      <c r="P21" s="106">
        <f t="shared" si="6"/>
        <v>500</v>
      </c>
      <c r="Q21" s="90">
        <v>0</v>
      </c>
      <c r="R21" s="90">
        <v>0</v>
      </c>
      <c r="S21" s="93">
        <f t="shared" si="3"/>
        <v>85.97</v>
      </c>
      <c r="T21" s="90">
        <f t="shared" si="4"/>
        <v>83.8</v>
      </c>
      <c r="U21" s="90">
        <f t="shared" si="5"/>
        <v>-2.17</v>
      </c>
      <c r="V21" s="120"/>
    </row>
    <row r="22" ht="45" customHeight="1" spans="1:22">
      <c r="A22" s="3">
        <v>19</v>
      </c>
      <c r="B22" s="4" t="s">
        <v>35</v>
      </c>
      <c r="C22" s="88">
        <v>740</v>
      </c>
      <c r="D22" s="89">
        <v>4</v>
      </c>
      <c r="E22" s="88">
        <v>3.47</v>
      </c>
      <c r="F22" s="90">
        <v>3.47</v>
      </c>
      <c r="G22" s="90">
        <f t="shared" si="1"/>
        <v>0</v>
      </c>
      <c r="H22" s="88">
        <v>0</v>
      </c>
      <c r="I22" s="89">
        <v>0</v>
      </c>
      <c r="J22" s="88">
        <v>0</v>
      </c>
      <c r="K22" s="90">
        <v>0</v>
      </c>
      <c r="L22" s="90">
        <f t="shared" si="2"/>
        <v>0</v>
      </c>
      <c r="M22" s="88">
        <v>0</v>
      </c>
      <c r="N22" s="89">
        <v>0</v>
      </c>
      <c r="O22" s="88">
        <v>0</v>
      </c>
      <c r="P22" s="106">
        <f t="shared" si="6"/>
        <v>500</v>
      </c>
      <c r="Q22" s="90">
        <v>0</v>
      </c>
      <c r="R22" s="90">
        <v>0</v>
      </c>
      <c r="S22" s="93">
        <f t="shared" si="3"/>
        <v>3.47</v>
      </c>
      <c r="T22" s="90">
        <f t="shared" si="4"/>
        <v>3.47</v>
      </c>
      <c r="U22" s="90">
        <f t="shared" si="5"/>
        <v>0</v>
      </c>
      <c r="V22" s="120"/>
    </row>
    <row r="23" ht="45" customHeight="1" spans="1:22">
      <c r="A23" s="3">
        <v>20</v>
      </c>
      <c r="B23" s="4" t="s">
        <v>36</v>
      </c>
      <c r="C23" s="88">
        <v>14825</v>
      </c>
      <c r="D23" s="89">
        <v>54</v>
      </c>
      <c r="E23" s="88">
        <v>70.24</v>
      </c>
      <c r="F23" s="90">
        <v>70.24</v>
      </c>
      <c r="G23" s="90">
        <f t="shared" si="1"/>
        <v>0</v>
      </c>
      <c r="H23" s="88">
        <v>3930</v>
      </c>
      <c r="I23" s="89">
        <v>5</v>
      </c>
      <c r="J23" s="88">
        <v>19.62</v>
      </c>
      <c r="K23" s="90">
        <v>19.62</v>
      </c>
      <c r="L23" s="90">
        <f t="shared" si="2"/>
        <v>0</v>
      </c>
      <c r="M23" s="88">
        <v>0</v>
      </c>
      <c r="N23" s="89">
        <v>0</v>
      </c>
      <c r="O23" s="88">
        <v>0</v>
      </c>
      <c r="P23" s="106">
        <f t="shared" si="6"/>
        <v>500</v>
      </c>
      <c r="Q23" s="90">
        <v>0</v>
      </c>
      <c r="R23" s="90">
        <v>0</v>
      </c>
      <c r="S23" s="93">
        <f t="shared" si="3"/>
        <v>89.86</v>
      </c>
      <c r="T23" s="90">
        <f t="shared" si="4"/>
        <v>89.86</v>
      </c>
      <c r="U23" s="90">
        <f t="shared" si="5"/>
        <v>0</v>
      </c>
      <c r="V23" s="120"/>
    </row>
    <row r="24" ht="45" customHeight="1" spans="1:22">
      <c r="A24" s="3">
        <v>21</v>
      </c>
      <c r="B24" s="4" t="s">
        <v>37</v>
      </c>
      <c r="C24" s="88">
        <v>10380</v>
      </c>
      <c r="D24" s="89">
        <v>33</v>
      </c>
      <c r="E24" s="88">
        <v>51.67</v>
      </c>
      <c r="F24" s="90">
        <v>51.67</v>
      </c>
      <c r="G24" s="90">
        <f t="shared" si="1"/>
        <v>0</v>
      </c>
      <c r="H24" s="88">
        <v>3270</v>
      </c>
      <c r="I24" s="89">
        <v>4</v>
      </c>
      <c r="J24" s="88">
        <v>16.26</v>
      </c>
      <c r="K24" s="90">
        <v>16.26</v>
      </c>
      <c r="L24" s="90">
        <f t="shared" si="2"/>
        <v>0</v>
      </c>
      <c r="M24" s="88">
        <v>0</v>
      </c>
      <c r="N24" s="89">
        <v>0</v>
      </c>
      <c r="O24" s="88">
        <v>0</v>
      </c>
      <c r="P24" s="106">
        <f t="shared" si="6"/>
        <v>500</v>
      </c>
      <c r="Q24" s="90">
        <v>0</v>
      </c>
      <c r="R24" s="90">
        <v>0</v>
      </c>
      <c r="S24" s="93">
        <f t="shared" si="3"/>
        <v>67.93</v>
      </c>
      <c r="T24" s="90">
        <f t="shared" si="4"/>
        <v>67.93</v>
      </c>
      <c r="U24" s="90">
        <f t="shared" si="5"/>
        <v>0</v>
      </c>
      <c r="V24" s="120"/>
    </row>
    <row r="25" ht="37" customHeight="1" spans="1:22">
      <c r="A25" s="3">
        <v>22</v>
      </c>
      <c r="B25" s="4" t="s">
        <v>38</v>
      </c>
      <c r="C25" s="88">
        <v>0</v>
      </c>
      <c r="D25" s="89">
        <v>0</v>
      </c>
      <c r="E25" s="88">
        <v>0</v>
      </c>
      <c r="F25" s="90">
        <v>0</v>
      </c>
      <c r="G25" s="90">
        <f t="shared" si="1"/>
        <v>0</v>
      </c>
      <c r="H25" s="88">
        <v>0</v>
      </c>
      <c r="I25" s="89">
        <v>0</v>
      </c>
      <c r="J25" s="88">
        <v>0</v>
      </c>
      <c r="K25" s="90">
        <v>0</v>
      </c>
      <c r="L25" s="90">
        <f t="shared" si="2"/>
        <v>0</v>
      </c>
      <c r="M25" s="88">
        <v>0</v>
      </c>
      <c r="N25" s="89">
        <v>0</v>
      </c>
      <c r="O25" s="88">
        <v>0</v>
      </c>
      <c r="P25" s="106">
        <f t="shared" si="6"/>
        <v>500</v>
      </c>
      <c r="Q25" s="90">
        <v>0</v>
      </c>
      <c r="R25" s="90">
        <v>0</v>
      </c>
      <c r="S25" s="93">
        <f t="shared" si="3"/>
        <v>0</v>
      </c>
      <c r="T25" s="90">
        <f t="shared" si="4"/>
        <v>0</v>
      </c>
      <c r="U25" s="90">
        <f t="shared" si="5"/>
        <v>0</v>
      </c>
      <c r="V25" s="120"/>
    </row>
    <row r="26" ht="46" customHeight="1" spans="1:22">
      <c r="A26" s="3">
        <v>23</v>
      </c>
      <c r="B26" s="4" t="s">
        <v>39</v>
      </c>
      <c r="C26" s="88">
        <v>0</v>
      </c>
      <c r="D26" s="89">
        <v>0</v>
      </c>
      <c r="E26" s="88">
        <v>0</v>
      </c>
      <c r="F26" s="90">
        <v>0</v>
      </c>
      <c r="G26" s="90">
        <f t="shared" si="1"/>
        <v>0</v>
      </c>
      <c r="H26" s="88">
        <v>0</v>
      </c>
      <c r="I26" s="89">
        <v>0</v>
      </c>
      <c r="J26" s="88">
        <v>0</v>
      </c>
      <c r="K26" s="90">
        <v>0</v>
      </c>
      <c r="L26" s="90">
        <f t="shared" si="2"/>
        <v>0</v>
      </c>
      <c r="M26" s="88">
        <v>0</v>
      </c>
      <c r="N26" s="89">
        <v>0</v>
      </c>
      <c r="O26" s="88">
        <v>0</v>
      </c>
      <c r="P26" s="106">
        <f t="shared" si="6"/>
        <v>500</v>
      </c>
      <c r="Q26" s="90">
        <v>0</v>
      </c>
      <c r="R26" s="90">
        <v>0</v>
      </c>
      <c r="S26" s="93">
        <f t="shared" si="3"/>
        <v>0</v>
      </c>
      <c r="T26" s="90">
        <f t="shared" si="4"/>
        <v>0</v>
      </c>
      <c r="U26" s="90">
        <f t="shared" si="5"/>
        <v>0</v>
      </c>
      <c r="V26" s="120"/>
    </row>
    <row r="27" ht="45" customHeight="1" spans="1:22">
      <c r="A27" s="3">
        <v>24</v>
      </c>
      <c r="B27" s="4" t="s">
        <v>40</v>
      </c>
      <c r="C27" s="88">
        <v>1300</v>
      </c>
      <c r="D27" s="89">
        <v>45</v>
      </c>
      <c r="E27" s="88">
        <v>6.55</v>
      </c>
      <c r="F27" s="90">
        <v>6.54999999999999</v>
      </c>
      <c r="G27" s="90">
        <f t="shared" si="1"/>
        <v>-9.76996261670138e-15</v>
      </c>
      <c r="H27" s="88">
        <v>0</v>
      </c>
      <c r="I27" s="89">
        <v>0</v>
      </c>
      <c r="J27" s="88">
        <v>0</v>
      </c>
      <c r="K27" s="90">
        <v>0</v>
      </c>
      <c r="L27" s="90">
        <f t="shared" si="2"/>
        <v>0</v>
      </c>
      <c r="M27" s="88">
        <v>0</v>
      </c>
      <c r="N27" s="89">
        <v>0</v>
      </c>
      <c r="O27" s="88">
        <v>0</v>
      </c>
      <c r="P27" s="106">
        <f t="shared" si="6"/>
        <v>500</v>
      </c>
      <c r="Q27" s="90">
        <v>0</v>
      </c>
      <c r="R27" s="90">
        <v>0</v>
      </c>
      <c r="S27" s="93">
        <f t="shared" si="3"/>
        <v>6.55</v>
      </c>
      <c r="T27" s="90">
        <f t="shared" si="4"/>
        <v>6.54999999999999</v>
      </c>
      <c r="U27" s="90">
        <f t="shared" si="5"/>
        <v>-9.76996261670138e-15</v>
      </c>
      <c r="V27" s="120"/>
    </row>
    <row r="28" ht="43" customHeight="1" spans="1:22">
      <c r="A28" s="3">
        <v>25</v>
      </c>
      <c r="B28" s="4" t="s">
        <v>41</v>
      </c>
      <c r="C28" s="88">
        <v>0</v>
      </c>
      <c r="D28" s="89">
        <v>0</v>
      </c>
      <c r="E28" s="88">
        <v>0</v>
      </c>
      <c r="F28" s="90">
        <v>0</v>
      </c>
      <c r="G28" s="90">
        <f t="shared" si="1"/>
        <v>0</v>
      </c>
      <c r="H28" s="88">
        <v>0</v>
      </c>
      <c r="I28" s="89">
        <v>0</v>
      </c>
      <c r="J28" s="88">
        <v>0</v>
      </c>
      <c r="K28" s="90">
        <v>0</v>
      </c>
      <c r="L28" s="90">
        <f t="shared" si="2"/>
        <v>0</v>
      </c>
      <c r="M28" s="88">
        <v>0</v>
      </c>
      <c r="N28" s="89">
        <v>0</v>
      </c>
      <c r="O28" s="88">
        <v>0</v>
      </c>
      <c r="P28" s="106">
        <f t="shared" si="6"/>
        <v>500</v>
      </c>
      <c r="Q28" s="90">
        <v>0</v>
      </c>
      <c r="R28" s="90">
        <v>0</v>
      </c>
      <c r="S28" s="93">
        <f t="shared" si="3"/>
        <v>0</v>
      </c>
      <c r="T28" s="90">
        <f t="shared" si="4"/>
        <v>0</v>
      </c>
      <c r="U28" s="90">
        <f t="shared" si="5"/>
        <v>0</v>
      </c>
      <c r="V28" s="120"/>
    </row>
    <row r="29" ht="46" customHeight="1" spans="1:22">
      <c r="A29" s="3">
        <v>26</v>
      </c>
      <c r="B29" s="4" t="s">
        <v>42</v>
      </c>
      <c r="C29" s="88">
        <v>0</v>
      </c>
      <c r="D29" s="89">
        <v>0</v>
      </c>
      <c r="E29" s="88">
        <v>0</v>
      </c>
      <c r="F29" s="90">
        <v>0</v>
      </c>
      <c r="G29" s="90">
        <f t="shared" si="1"/>
        <v>0</v>
      </c>
      <c r="H29" s="88">
        <v>0</v>
      </c>
      <c r="I29" s="89">
        <v>0</v>
      </c>
      <c r="J29" s="88">
        <v>0</v>
      </c>
      <c r="K29" s="90">
        <v>0</v>
      </c>
      <c r="L29" s="90">
        <f t="shared" si="2"/>
        <v>0</v>
      </c>
      <c r="M29" s="88">
        <v>0</v>
      </c>
      <c r="N29" s="89">
        <v>0</v>
      </c>
      <c r="O29" s="88">
        <v>0</v>
      </c>
      <c r="P29" s="106">
        <f t="shared" si="6"/>
        <v>500</v>
      </c>
      <c r="Q29" s="90">
        <v>0</v>
      </c>
      <c r="R29" s="90">
        <v>0</v>
      </c>
      <c r="S29" s="93">
        <f t="shared" si="3"/>
        <v>0</v>
      </c>
      <c r="T29" s="90">
        <f t="shared" si="4"/>
        <v>0</v>
      </c>
      <c r="U29" s="90">
        <f t="shared" si="5"/>
        <v>0</v>
      </c>
      <c r="V29" s="120"/>
    </row>
    <row r="30" ht="45" customHeight="1" spans="1:22">
      <c r="A30" s="3">
        <v>27</v>
      </c>
      <c r="B30" s="4" t="s">
        <v>43</v>
      </c>
      <c r="C30" s="88">
        <v>10360</v>
      </c>
      <c r="D30" s="89">
        <v>28</v>
      </c>
      <c r="E30" s="88">
        <v>51.16</v>
      </c>
      <c r="F30" s="90">
        <v>46.6</v>
      </c>
      <c r="G30" s="90">
        <f t="shared" si="1"/>
        <v>-4.56</v>
      </c>
      <c r="H30" s="88">
        <v>8510</v>
      </c>
      <c r="I30" s="89">
        <v>9</v>
      </c>
      <c r="J30" s="88">
        <v>42.43</v>
      </c>
      <c r="K30" s="90">
        <v>37.67</v>
      </c>
      <c r="L30" s="90">
        <f t="shared" si="2"/>
        <v>-4.76</v>
      </c>
      <c r="M30" s="88">
        <v>45195.5</v>
      </c>
      <c r="N30" s="89">
        <v>351</v>
      </c>
      <c r="O30" s="88">
        <v>90.37</v>
      </c>
      <c r="P30" s="106">
        <f t="shared" si="6"/>
        <v>409.76</v>
      </c>
      <c r="Q30" s="90">
        <v>90.2400000000001</v>
      </c>
      <c r="R30" s="90">
        <v>-0.12999999999991</v>
      </c>
      <c r="S30" s="93">
        <f t="shared" si="3"/>
        <v>183.96</v>
      </c>
      <c r="T30" s="90">
        <f t="shared" si="4"/>
        <v>174.51</v>
      </c>
      <c r="U30" s="90">
        <f t="shared" si="5"/>
        <v>-9.44999999999991</v>
      </c>
      <c r="V30" s="120"/>
    </row>
    <row r="31" ht="45" customHeight="1" spans="1:22">
      <c r="A31" s="3">
        <v>28</v>
      </c>
      <c r="B31" s="4" t="s">
        <v>44</v>
      </c>
      <c r="C31" s="88">
        <v>5748</v>
      </c>
      <c r="D31" s="89">
        <v>72</v>
      </c>
      <c r="E31" s="88">
        <v>28.74</v>
      </c>
      <c r="F31" s="90">
        <v>25.74</v>
      </c>
      <c r="G31" s="90">
        <f t="shared" si="1"/>
        <v>-3</v>
      </c>
      <c r="H31" s="88">
        <v>0</v>
      </c>
      <c r="I31" s="89">
        <v>0</v>
      </c>
      <c r="J31" s="88">
        <v>0</v>
      </c>
      <c r="K31" s="90">
        <v>0</v>
      </c>
      <c r="L31" s="90">
        <f t="shared" si="2"/>
        <v>0</v>
      </c>
      <c r="M31" s="88">
        <v>0</v>
      </c>
      <c r="N31" s="89">
        <v>0</v>
      </c>
      <c r="O31" s="88">
        <v>0</v>
      </c>
      <c r="P31" s="106">
        <f t="shared" si="6"/>
        <v>500</v>
      </c>
      <c r="Q31" s="90">
        <v>0</v>
      </c>
      <c r="R31" s="90">
        <v>0</v>
      </c>
      <c r="S31" s="93">
        <f t="shared" si="3"/>
        <v>28.74</v>
      </c>
      <c r="T31" s="90">
        <f t="shared" si="4"/>
        <v>25.74</v>
      </c>
      <c r="U31" s="90">
        <f t="shared" si="5"/>
        <v>-3</v>
      </c>
      <c r="V31" s="120"/>
    </row>
    <row r="32" ht="45" customHeight="1" spans="1:22">
      <c r="A32" s="3">
        <v>29</v>
      </c>
      <c r="B32" s="4" t="s">
        <v>45</v>
      </c>
      <c r="C32" s="88">
        <v>5425.8</v>
      </c>
      <c r="D32" s="89">
        <v>16</v>
      </c>
      <c r="E32" s="88">
        <v>25.72</v>
      </c>
      <c r="F32" s="90">
        <v>25.72</v>
      </c>
      <c r="G32" s="90">
        <f t="shared" si="1"/>
        <v>0</v>
      </c>
      <c r="H32" s="88">
        <v>700</v>
      </c>
      <c r="I32" s="89">
        <v>1</v>
      </c>
      <c r="J32" s="88">
        <v>3.5</v>
      </c>
      <c r="K32" s="90">
        <v>3.5</v>
      </c>
      <c r="L32" s="90">
        <f t="shared" si="2"/>
        <v>0</v>
      </c>
      <c r="M32" s="88">
        <v>0</v>
      </c>
      <c r="N32" s="89">
        <v>0</v>
      </c>
      <c r="O32" s="88">
        <v>0</v>
      </c>
      <c r="P32" s="106">
        <f t="shared" si="6"/>
        <v>500</v>
      </c>
      <c r="Q32" s="90">
        <v>0</v>
      </c>
      <c r="R32" s="90">
        <v>0</v>
      </c>
      <c r="S32" s="93">
        <f t="shared" si="3"/>
        <v>29.22</v>
      </c>
      <c r="T32" s="90">
        <f t="shared" si="4"/>
        <v>29.22</v>
      </c>
      <c r="U32" s="90">
        <f t="shared" si="5"/>
        <v>0</v>
      </c>
      <c r="V32" s="120"/>
    </row>
    <row r="33" ht="45" customHeight="1" spans="1:22">
      <c r="A33" s="3">
        <v>30</v>
      </c>
      <c r="B33" s="4" t="s">
        <v>46</v>
      </c>
      <c r="C33" s="88">
        <v>11054</v>
      </c>
      <c r="D33" s="89">
        <v>48</v>
      </c>
      <c r="E33" s="88">
        <v>54.05</v>
      </c>
      <c r="F33" s="90">
        <v>31.63</v>
      </c>
      <c r="G33" s="90">
        <f t="shared" si="1"/>
        <v>-22.42</v>
      </c>
      <c r="H33" s="88">
        <v>7400</v>
      </c>
      <c r="I33" s="89">
        <v>8</v>
      </c>
      <c r="J33" s="88">
        <v>36.97</v>
      </c>
      <c r="K33" s="90">
        <v>32.97</v>
      </c>
      <c r="L33" s="90">
        <f t="shared" si="2"/>
        <v>-4</v>
      </c>
      <c r="M33" s="88">
        <v>0</v>
      </c>
      <c r="N33" s="89">
        <v>0</v>
      </c>
      <c r="O33" s="88">
        <v>0</v>
      </c>
      <c r="P33" s="106">
        <f t="shared" si="6"/>
        <v>500</v>
      </c>
      <c r="Q33" s="90">
        <v>0</v>
      </c>
      <c r="R33" s="90">
        <v>0</v>
      </c>
      <c r="S33" s="93">
        <f t="shared" si="3"/>
        <v>91.02</v>
      </c>
      <c r="T33" s="90">
        <f t="shared" si="4"/>
        <v>64.6</v>
      </c>
      <c r="U33" s="90">
        <f t="shared" si="5"/>
        <v>-26.42</v>
      </c>
      <c r="V33" s="120"/>
    </row>
    <row r="34" ht="45" customHeight="1" spans="1:22">
      <c r="A34" s="3">
        <v>31</v>
      </c>
      <c r="B34" s="4" t="s">
        <v>47</v>
      </c>
      <c r="C34" s="88">
        <v>4677</v>
      </c>
      <c r="D34" s="89">
        <v>18</v>
      </c>
      <c r="E34" s="88">
        <v>23.24</v>
      </c>
      <c r="F34" s="90">
        <v>21.72</v>
      </c>
      <c r="G34" s="90">
        <f t="shared" si="1"/>
        <v>-1.52</v>
      </c>
      <c r="H34" s="88">
        <v>4500</v>
      </c>
      <c r="I34" s="89">
        <v>5</v>
      </c>
      <c r="J34" s="88">
        <v>22.42</v>
      </c>
      <c r="K34" s="90">
        <v>22.42</v>
      </c>
      <c r="L34" s="90">
        <f t="shared" si="2"/>
        <v>0</v>
      </c>
      <c r="M34" s="88">
        <v>0</v>
      </c>
      <c r="N34" s="89">
        <v>0</v>
      </c>
      <c r="O34" s="88">
        <v>0</v>
      </c>
      <c r="P34" s="106">
        <f t="shared" si="6"/>
        <v>500</v>
      </c>
      <c r="Q34" s="90">
        <v>0</v>
      </c>
      <c r="R34" s="90">
        <v>0</v>
      </c>
      <c r="S34" s="93">
        <f t="shared" si="3"/>
        <v>45.66</v>
      </c>
      <c r="T34" s="90">
        <f t="shared" si="4"/>
        <v>44.14</v>
      </c>
      <c r="U34" s="90">
        <f t="shared" si="5"/>
        <v>-1.52</v>
      </c>
      <c r="V34" s="120"/>
    </row>
    <row r="35" ht="45" customHeight="1" spans="1:22">
      <c r="A35" s="3">
        <v>32</v>
      </c>
      <c r="B35" s="4" t="s">
        <v>48</v>
      </c>
      <c r="C35" s="88">
        <v>850</v>
      </c>
      <c r="D35" s="89">
        <v>2</v>
      </c>
      <c r="E35" s="88">
        <v>4.25</v>
      </c>
      <c r="F35" s="90">
        <v>4.25</v>
      </c>
      <c r="G35" s="90">
        <f t="shared" si="1"/>
        <v>0</v>
      </c>
      <c r="H35" s="88">
        <v>1300</v>
      </c>
      <c r="I35" s="89">
        <v>2</v>
      </c>
      <c r="J35" s="88">
        <v>6.5</v>
      </c>
      <c r="K35" s="90">
        <v>6.5</v>
      </c>
      <c r="L35" s="90">
        <f t="shared" si="2"/>
        <v>0</v>
      </c>
      <c r="M35" s="88">
        <v>0</v>
      </c>
      <c r="N35" s="89">
        <v>0</v>
      </c>
      <c r="O35" s="88">
        <v>0</v>
      </c>
      <c r="P35" s="106">
        <f t="shared" si="6"/>
        <v>500</v>
      </c>
      <c r="Q35" s="90">
        <v>0</v>
      </c>
      <c r="R35" s="90">
        <v>0</v>
      </c>
      <c r="S35" s="93">
        <f t="shared" si="3"/>
        <v>10.75</v>
      </c>
      <c r="T35" s="90">
        <f t="shared" si="4"/>
        <v>10.75</v>
      </c>
      <c r="U35" s="90">
        <f t="shared" si="5"/>
        <v>0</v>
      </c>
      <c r="V35" s="120"/>
    </row>
    <row r="36" ht="45" customHeight="1" spans="1:22">
      <c r="A36" s="3">
        <v>33</v>
      </c>
      <c r="B36" s="4" t="s">
        <v>49</v>
      </c>
      <c r="C36" s="88">
        <v>6823.68</v>
      </c>
      <c r="D36" s="89">
        <v>20</v>
      </c>
      <c r="E36" s="88">
        <v>31.53</v>
      </c>
      <c r="F36" s="90">
        <v>31.53</v>
      </c>
      <c r="G36" s="90">
        <f t="shared" si="1"/>
        <v>0</v>
      </c>
      <c r="H36" s="88">
        <v>14710</v>
      </c>
      <c r="I36" s="89">
        <v>17</v>
      </c>
      <c r="J36" s="88">
        <v>72.48</v>
      </c>
      <c r="K36" s="90">
        <v>72.48</v>
      </c>
      <c r="L36" s="90">
        <f t="shared" si="2"/>
        <v>0</v>
      </c>
      <c r="M36" s="88">
        <v>0</v>
      </c>
      <c r="N36" s="89">
        <v>0</v>
      </c>
      <c r="O36" s="88">
        <v>0</v>
      </c>
      <c r="P36" s="106">
        <f t="shared" si="6"/>
        <v>500</v>
      </c>
      <c r="Q36" s="90">
        <v>0</v>
      </c>
      <c r="R36" s="90">
        <v>0</v>
      </c>
      <c r="S36" s="93">
        <f t="shared" si="3"/>
        <v>104.01</v>
      </c>
      <c r="T36" s="90">
        <f t="shared" si="4"/>
        <v>104.01</v>
      </c>
      <c r="U36" s="90">
        <f t="shared" si="5"/>
        <v>0</v>
      </c>
      <c r="V36" s="120"/>
    </row>
    <row r="37" ht="45" customHeight="1" spans="1:22">
      <c r="A37" s="3">
        <v>34</v>
      </c>
      <c r="B37" s="4" t="s">
        <v>50</v>
      </c>
      <c r="C37" s="88">
        <v>9748</v>
      </c>
      <c r="D37" s="89">
        <v>196</v>
      </c>
      <c r="E37" s="88">
        <v>49.41</v>
      </c>
      <c r="F37" s="90">
        <v>49.36</v>
      </c>
      <c r="G37" s="90">
        <f t="shared" ref="G37:G61" si="7">F37-E37</f>
        <v>-0.0499999999999972</v>
      </c>
      <c r="H37" s="88">
        <v>4800</v>
      </c>
      <c r="I37" s="89">
        <v>6</v>
      </c>
      <c r="J37" s="88">
        <v>21.14</v>
      </c>
      <c r="K37" s="90">
        <v>21.14</v>
      </c>
      <c r="L37" s="90">
        <f t="shared" ref="L37:L61" si="8">K37-J37</f>
        <v>0</v>
      </c>
      <c r="M37" s="88">
        <v>0</v>
      </c>
      <c r="N37" s="89">
        <v>0</v>
      </c>
      <c r="O37" s="88">
        <v>0</v>
      </c>
      <c r="P37" s="106">
        <f t="shared" si="6"/>
        <v>500</v>
      </c>
      <c r="Q37" s="90">
        <v>0</v>
      </c>
      <c r="R37" s="90">
        <v>0</v>
      </c>
      <c r="S37" s="93">
        <f t="shared" ref="S37:S61" si="9">SUM(E37,J37,O37)</f>
        <v>70.55</v>
      </c>
      <c r="T37" s="90">
        <f t="shared" ref="T37:T61" si="10">SUM(F37,K37,Q37)</f>
        <v>70.5</v>
      </c>
      <c r="U37" s="90">
        <f t="shared" ref="U37:U61" si="11">SUM(G37,L37,R37)</f>
        <v>-0.0499999999999972</v>
      </c>
      <c r="V37" s="120"/>
    </row>
    <row r="38" ht="45" customHeight="1" spans="1:22">
      <c r="A38" s="3">
        <v>35</v>
      </c>
      <c r="B38" s="4" t="s">
        <v>51</v>
      </c>
      <c r="C38" s="88">
        <v>10</v>
      </c>
      <c r="D38" s="89">
        <v>1</v>
      </c>
      <c r="E38" s="88">
        <v>0.05</v>
      </c>
      <c r="F38" s="90">
        <v>0.05</v>
      </c>
      <c r="G38" s="90">
        <f t="shared" si="7"/>
        <v>0</v>
      </c>
      <c r="H38" s="88">
        <v>0</v>
      </c>
      <c r="I38" s="89">
        <v>0</v>
      </c>
      <c r="J38" s="88">
        <v>0</v>
      </c>
      <c r="K38" s="90">
        <v>0</v>
      </c>
      <c r="L38" s="90">
        <f t="shared" si="8"/>
        <v>0</v>
      </c>
      <c r="M38" s="88">
        <v>95209.4</v>
      </c>
      <c r="N38" s="89">
        <v>850</v>
      </c>
      <c r="O38" s="88">
        <v>190.079999999998</v>
      </c>
      <c r="P38" s="106">
        <f t="shared" si="6"/>
        <v>309.920000000002</v>
      </c>
      <c r="Q38" s="90">
        <v>190.079999999998</v>
      </c>
      <c r="R38" s="90">
        <v>0</v>
      </c>
      <c r="S38" s="93">
        <f t="shared" si="9"/>
        <v>190.129999999998</v>
      </c>
      <c r="T38" s="90">
        <f t="shared" si="10"/>
        <v>190.129999999998</v>
      </c>
      <c r="U38" s="90">
        <f t="shared" si="11"/>
        <v>0</v>
      </c>
      <c r="V38" s="120"/>
    </row>
    <row r="39" ht="45" customHeight="1" spans="1:22">
      <c r="A39" s="3">
        <v>36</v>
      </c>
      <c r="B39" s="4" t="s">
        <v>52</v>
      </c>
      <c r="C39" s="88">
        <v>970</v>
      </c>
      <c r="D39" s="89">
        <v>2</v>
      </c>
      <c r="E39" s="88">
        <v>8.81</v>
      </c>
      <c r="F39" s="90">
        <v>8.81</v>
      </c>
      <c r="G39" s="90">
        <f t="shared" si="7"/>
        <v>0</v>
      </c>
      <c r="H39" s="88">
        <v>800</v>
      </c>
      <c r="I39" s="89">
        <v>1</v>
      </c>
      <c r="J39" s="88">
        <v>3.98</v>
      </c>
      <c r="K39" s="90">
        <v>3.98</v>
      </c>
      <c r="L39" s="90">
        <f t="shared" si="8"/>
        <v>0</v>
      </c>
      <c r="M39" s="88">
        <v>0</v>
      </c>
      <c r="N39" s="89">
        <v>0</v>
      </c>
      <c r="O39" s="88">
        <v>0</v>
      </c>
      <c r="P39" s="106">
        <f t="shared" si="6"/>
        <v>500</v>
      </c>
      <c r="Q39" s="90">
        <v>0</v>
      </c>
      <c r="R39" s="90">
        <v>0</v>
      </c>
      <c r="S39" s="93">
        <f t="shared" si="9"/>
        <v>12.79</v>
      </c>
      <c r="T39" s="90">
        <f t="shared" si="10"/>
        <v>12.79</v>
      </c>
      <c r="U39" s="90">
        <f t="shared" si="11"/>
        <v>0</v>
      </c>
      <c r="V39" s="120"/>
    </row>
    <row r="40" ht="45" customHeight="1" spans="1:22">
      <c r="A40" s="3">
        <v>37</v>
      </c>
      <c r="B40" s="4" t="s">
        <v>53</v>
      </c>
      <c r="C40" s="88">
        <v>4000.6</v>
      </c>
      <c r="D40" s="89">
        <v>19</v>
      </c>
      <c r="E40" s="88">
        <v>19.64</v>
      </c>
      <c r="F40" s="90">
        <v>19.64</v>
      </c>
      <c r="G40" s="90">
        <f t="shared" si="7"/>
        <v>0</v>
      </c>
      <c r="H40" s="88">
        <v>5650</v>
      </c>
      <c r="I40" s="89">
        <v>6</v>
      </c>
      <c r="J40" s="88">
        <v>25.71</v>
      </c>
      <c r="K40" s="90">
        <v>24.71</v>
      </c>
      <c r="L40" s="90">
        <f t="shared" si="8"/>
        <v>-1</v>
      </c>
      <c r="M40" s="88">
        <v>0</v>
      </c>
      <c r="N40" s="89">
        <v>0</v>
      </c>
      <c r="O40" s="88">
        <v>0</v>
      </c>
      <c r="P40" s="106">
        <f t="shared" si="6"/>
        <v>500</v>
      </c>
      <c r="Q40" s="90">
        <v>0</v>
      </c>
      <c r="R40" s="90">
        <v>0</v>
      </c>
      <c r="S40" s="93">
        <f t="shared" si="9"/>
        <v>45.35</v>
      </c>
      <c r="T40" s="90">
        <f t="shared" si="10"/>
        <v>44.35</v>
      </c>
      <c r="U40" s="90">
        <f t="shared" si="11"/>
        <v>-1</v>
      </c>
      <c r="V40" s="120"/>
    </row>
    <row r="41" ht="45" customHeight="1" spans="1:22">
      <c r="A41" s="3">
        <v>38</v>
      </c>
      <c r="B41" s="4" t="s">
        <v>54</v>
      </c>
      <c r="C41" s="88">
        <v>7142</v>
      </c>
      <c r="D41" s="89">
        <v>19</v>
      </c>
      <c r="E41" s="88">
        <v>35.19</v>
      </c>
      <c r="F41" s="90">
        <v>26.66</v>
      </c>
      <c r="G41" s="90">
        <f t="shared" si="7"/>
        <v>-8.53</v>
      </c>
      <c r="H41" s="88">
        <v>3400</v>
      </c>
      <c r="I41" s="89">
        <v>4</v>
      </c>
      <c r="J41" s="88">
        <v>16.95</v>
      </c>
      <c r="K41" s="90">
        <v>16.95</v>
      </c>
      <c r="L41" s="90">
        <f t="shared" si="8"/>
        <v>0</v>
      </c>
      <c r="M41" s="88">
        <v>83042.89</v>
      </c>
      <c r="N41" s="89">
        <v>655</v>
      </c>
      <c r="O41" s="88">
        <v>165.4</v>
      </c>
      <c r="P41" s="106">
        <f t="shared" si="6"/>
        <v>334.6</v>
      </c>
      <c r="Q41" s="90">
        <v>165.4</v>
      </c>
      <c r="R41" s="90">
        <v>0</v>
      </c>
      <c r="S41" s="93">
        <f t="shared" si="9"/>
        <v>217.54</v>
      </c>
      <c r="T41" s="90">
        <f t="shared" si="10"/>
        <v>209.01</v>
      </c>
      <c r="U41" s="90">
        <f t="shared" si="11"/>
        <v>-8.53</v>
      </c>
      <c r="V41" s="120"/>
    </row>
    <row r="42" ht="37" customHeight="1" spans="1:22">
      <c r="A42" s="3">
        <v>39</v>
      </c>
      <c r="B42" s="4" t="s">
        <v>55</v>
      </c>
      <c r="C42" s="88">
        <v>0</v>
      </c>
      <c r="D42" s="89">
        <v>0</v>
      </c>
      <c r="E42" s="88">
        <v>0</v>
      </c>
      <c r="F42" s="90">
        <v>0</v>
      </c>
      <c r="G42" s="90">
        <f t="shared" si="7"/>
        <v>0</v>
      </c>
      <c r="H42" s="88">
        <v>0</v>
      </c>
      <c r="I42" s="89">
        <v>0</v>
      </c>
      <c r="J42" s="88">
        <v>0</v>
      </c>
      <c r="K42" s="90">
        <v>0</v>
      </c>
      <c r="L42" s="90">
        <f t="shared" si="8"/>
        <v>0</v>
      </c>
      <c r="M42" s="88">
        <v>0</v>
      </c>
      <c r="N42" s="89">
        <v>0</v>
      </c>
      <c r="O42" s="88">
        <v>0</v>
      </c>
      <c r="P42" s="106">
        <f t="shared" si="6"/>
        <v>500</v>
      </c>
      <c r="Q42" s="90">
        <v>0</v>
      </c>
      <c r="R42" s="90">
        <v>0</v>
      </c>
      <c r="S42" s="93">
        <f t="shared" si="9"/>
        <v>0</v>
      </c>
      <c r="T42" s="90">
        <f t="shared" si="10"/>
        <v>0</v>
      </c>
      <c r="U42" s="90">
        <f t="shared" si="11"/>
        <v>0</v>
      </c>
      <c r="V42" s="120"/>
    </row>
    <row r="43" ht="45" customHeight="1" spans="1:22">
      <c r="A43" s="3">
        <v>40</v>
      </c>
      <c r="B43" s="4" t="s">
        <v>56</v>
      </c>
      <c r="C43" s="88">
        <v>11585</v>
      </c>
      <c r="D43" s="89">
        <v>105</v>
      </c>
      <c r="E43" s="88">
        <v>57.9</v>
      </c>
      <c r="F43" s="90">
        <v>57.8</v>
      </c>
      <c r="G43" s="90">
        <f t="shared" si="7"/>
        <v>-0.100000000000001</v>
      </c>
      <c r="H43" s="88">
        <v>0</v>
      </c>
      <c r="I43" s="89">
        <v>0</v>
      </c>
      <c r="J43" s="88">
        <v>0</v>
      </c>
      <c r="K43" s="90">
        <v>0</v>
      </c>
      <c r="L43" s="90">
        <f t="shared" si="8"/>
        <v>0</v>
      </c>
      <c r="M43" s="88">
        <v>0</v>
      </c>
      <c r="N43" s="89">
        <v>0</v>
      </c>
      <c r="O43" s="88">
        <v>0</v>
      </c>
      <c r="P43" s="106">
        <f t="shared" si="6"/>
        <v>500</v>
      </c>
      <c r="Q43" s="90">
        <v>0</v>
      </c>
      <c r="R43" s="90">
        <v>0</v>
      </c>
      <c r="S43" s="93">
        <f t="shared" si="9"/>
        <v>57.9</v>
      </c>
      <c r="T43" s="90">
        <f t="shared" si="10"/>
        <v>57.8</v>
      </c>
      <c r="U43" s="90">
        <f t="shared" si="11"/>
        <v>-0.100000000000001</v>
      </c>
      <c r="V43" s="120"/>
    </row>
    <row r="44" ht="45" customHeight="1" spans="1:22">
      <c r="A44" s="3">
        <v>41</v>
      </c>
      <c r="B44" s="4" t="s">
        <v>57</v>
      </c>
      <c r="C44" s="88">
        <v>4208.84</v>
      </c>
      <c r="D44" s="89">
        <v>49</v>
      </c>
      <c r="E44" s="88">
        <v>19.9</v>
      </c>
      <c r="F44" s="90">
        <v>19.9</v>
      </c>
      <c r="G44" s="90">
        <f t="shared" si="7"/>
        <v>0</v>
      </c>
      <c r="H44" s="88">
        <v>1000</v>
      </c>
      <c r="I44" s="89">
        <v>1</v>
      </c>
      <c r="J44" s="88">
        <v>4.99</v>
      </c>
      <c r="K44" s="90">
        <v>4.99</v>
      </c>
      <c r="L44" s="90">
        <f t="shared" si="8"/>
        <v>0</v>
      </c>
      <c r="M44" s="88">
        <v>0</v>
      </c>
      <c r="N44" s="89">
        <v>0</v>
      </c>
      <c r="O44" s="88">
        <v>0</v>
      </c>
      <c r="P44" s="106">
        <f t="shared" si="6"/>
        <v>500</v>
      </c>
      <c r="Q44" s="90">
        <v>0</v>
      </c>
      <c r="R44" s="90">
        <v>0</v>
      </c>
      <c r="S44" s="93">
        <f t="shared" si="9"/>
        <v>24.89</v>
      </c>
      <c r="T44" s="90">
        <f t="shared" si="10"/>
        <v>24.89</v>
      </c>
      <c r="U44" s="90">
        <f t="shared" si="11"/>
        <v>0</v>
      </c>
      <c r="V44" s="120"/>
    </row>
    <row r="45" ht="45" customHeight="1" spans="1:22">
      <c r="A45" s="3">
        <v>42</v>
      </c>
      <c r="B45" s="4" t="s">
        <v>58</v>
      </c>
      <c r="C45" s="88">
        <v>6144</v>
      </c>
      <c r="D45" s="89">
        <v>30</v>
      </c>
      <c r="E45" s="88">
        <v>30.72</v>
      </c>
      <c r="F45" s="90">
        <v>30.72</v>
      </c>
      <c r="G45" s="90">
        <f t="shared" si="7"/>
        <v>0</v>
      </c>
      <c r="H45" s="88">
        <v>3899</v>
      </c>
      <c r="I45" s="89">
        <v>4</v>
      </c>
      <c r="J45" s="88">
        <v>19.5</v>
      </c>
      <c r="K45" s="90">
        <v>19.5</v>
      </c>
      <c r="L45" s="90">
        <f t="shared" si="8"/>
        <v>0</v>
      </c>
      <c r="M45" s="88">
        <v>1501</v>
      </c>
      <c r="N45" s="89">
        <v>5</v>
      </c>
      <c r="O45" s="88">
        <v>3</v>
      </c>
      <c r="P45" s="106">
        <f t="shared" si="6"/>
        <v>497</v>
      </c>
      <c r="Q45" s="90">
        <v>3</v>
      </c>
      <c r="R45" s="90">
        <v>0</v>
      </c>
      <c r="S45" s="93">
        <f t="shared" si="9"/>
        <v>53.22</v>
      </c>
      <c r="T45" s="90">
        <f t="shared" si="10"/>
        <v>53.22</v>
      </c>
      <c r="U45" s="90">
        <f t="shared" si="11"/>
        <v>0</v>
      </c>
      <c r="V45" s="120"/>
    </row>
    <row r="46" ht="41" customHeight="1" spans="1:22">
      <c r="A46" s="3">
        <v>43</v>
      </c>
      <c r="B46" s="4" t="s">
        <v>59</v>
      </c>
      <c r="C46" s="88">
        <v>0</v>
      </c>
      <c r="D46" s="89">
        <v>0</v>
      </c>
      <c r="E46" s="88">
        <v>0</v>
      </c>
      <c r="F46" s="90">
        <v>0</v>
      </c>
      <c r="G46" s="90">
        <f t="shared" si="7"/>
        <v>0</v>
      </c>
      <c r="H46" s="88">
        <v>0</v>
      </c>
      <c r="I46" s="89">
        <v>0</v>
      </c>
      <c r="J46" s="88">
        <v>0</v>
      </c>
      <c r="K46" s="90">
        <v>0</v>
      </c>
      <c r="L46" s="90">
        <f t="shared" si="8"/>
        <v>0</v>
      </c>
      <c r="M46" s="88">
        <v>0</v>
      </c>
      <c r="N46" s="89">
        <v>0</v>
      </c>
      <c r="O46" s="88">
        <v>0</v>
      </c>
      <c r="P46" s="106">
        <f t="shared" si="6"/>
        <v>500</v>
      </c>
      <c r="Q46" s="90">
        <v>0</v>
      </c>
      <c r="R46" s="90">
        <v>0</v>
      </c>
      <c r="S46" s="93">
        <f t="shared" si="9"/>
        <v>0</v>
      </c>
      <c r="T46" s="90">
        <f t="shared" si="10"/>
        <v>0</v>
      </c>
      <c r="U46" s="90">
        <f t="shared" si="11"/>
        <v>0</v>
      </c>
      <c r="V46" s="120"/>
    </row>
    <row r="47" ht="45" customHeight="1" spans="1:22">
      <c r="A47" s="3">
        <v>44</v>
      </c>
      <c r="B47" s="4" t="s">
        <v>60</v>
      </c>
      <c r="C47" s="88">
        <v>14842</v>
      </c>
      <c r="D47" s="89">
        <v>77</v>
      </c>
      <c r="E47" s="88">
        <v>74.06</v>
      </c>
      <c r="F47" s="90">
        <v>74.06</v>
      </c>
      <c r="G47" s="90">
        <f t="shared" si="7"/>
        <v>0</v>
      </c>
      <c r="H47" s="88">
        <v>3500</v>
      </c>
      <c r="I47" s="89">
        <v>4</v>
      </c>
      <c r="J47" s="88">
        <v>17.5</v>
      </c>
      <c r="K47" s="90">
        <v>17.5</v>
      </c>
      <c r="L47" s="90">
        <f t="shared" si="8"/>
        <v>0</v>
      </c>
      <c r="M47" s="88">
        <v>0</v>
      </c>
      <c r="N47" s="89">
        <v>0</v>
      </c>
      <c r="O47" s="88">
        <v>0</v>
      </c>
      <c r="P47" s="106">
        <f t="shared" si="6"/>
        <v>500</v>
      </c>
      <c r="Q47" s="90">
        <v>0</v>
      </c>
      <c r="R47" s="90">
        <v>0</v>
      </c>
      <c r="S47" s="93">
        <f t="shared" si="9"/>
        <v>91.56</v>
      </c>
      <c r="T47" s="90">
        <f t="shared" si="10"/>
        <v>91.56</v>
      </c>
      <c r="U47" s="90">
        <f t="shared" si="11"/>
        <v>0</v>
      </c>
      <c r="V47" s="120"/>
    </row>
    <row r="48" ht="45" customHeight="1" spans="1:22">
      <c r="A48" s="3">
        <v>45</v>
      </c>
      <c r="B48" s="4" t="s">
        <v>61</v>
      </c>
      <c r="C48" s="88">
        <v>1880</v>
      </c>
      <c r="D48" s="89">
        <v>5</v>
      </c>
      <c r="E48" s="88">
        <v>9.4</v>
      </c>
      <c r="F48" s="90">
        <v>4.9</v>
      </c>
      <c r="G48" s="90">
        <f t="shared" si="7"/>
        <v>-4.5</v>
      </c>
      <c r="H48" s="88">
        <v>2350</v>
      </c>
      <c r="I48" s="89">
        <v>3</v>
      </c>
      <c r="J48" s="88">
        <v>11.75</v>
      </c>
      <c r="K48" s="90">
        <v>4</v>
      </c>
      <c r="L48" s="90">
        <f t="shared" si="8"/>
        <v>-7.75</v>
      </c>
      <c r="M48" s="88">
        <v>0</v>
      </c>
      <c r="N48" s="89">
        <v>0</v>
      </c>
      <c r="O48" s="88">
        <v>0</v>
      </c>
      <c r="P48" s="106">
        <f t="shared" si="6"/>
        <v>500</v>
      </c>
      <c r="Q48" s="90">
        <v>0</v>
      </c>
      <c r="R48" s="90">
        <v>0</v>
      </c>
      <c r="S48" s="93">
        <f t="shared" si="9"/>
        <v>21.15</v>
      </c>
      <c r="T48" s="90">
        <f t="shared" si="10"/>
        <v>8.9</v>
      </c>
      <c r="U48" s="90">
        <f t="shared" si="11"/>
        <v>-12.25</v>
      </c>
      <c r="V48" s="120"/>
    </row>
    <row r="49" ht="45" customHeight="1" spans="1:22">
      <c r="A49" s="3">
        <v>46</v>
      </c>
      <c r="B49" s="4" t="s">
        <v>62</v>
      </c>
      <c r="C49" s="88">
        <v>6708</v>
      </c>
      <c r="D49" s="89">
        <v>31</v>
      </c>
      <c r="E49" s="88">
        <v>33.45</v>
      </c>
      <c r="F49" s="90">
        <v>32.56</v>
      </c>
      <c r="G49" s="90">
        <f t="shared" si="7"/>
        <v>-0.890000000000001</v>
      </c>
      <c r="H49" s="88">
        <v>0</v>
      </c>
      <c r="I49" s="89">
        <v>0</v>
      </c>
      <c r="J49" s="88">
        <v>0</v>
      </c>
      <c r="K49" s="90">
        <v>0</v>
      </c>
      <c r="L49" s="90">
        <f t="shared" si="8"/>
        <v>0</v>
      </c>
      <c r="M49" s="88">
        <v>56852.1</v>
      </c>
      <c r="N49" s="89">
        <v>407</v>
      </c>
      <c r="O49" s="88">
        <v>112.81</v>
      </c>
      <c r="P49" s="106">
        <f t="shared" si="6"/>
        <v>387.19</v>
      </c>
      <c r="Q49" s="90">
        <v>112.81</v>
      </c>
      <c r="R49" s="90">
        <v>0</v>
      </c>
      <c r="S49" s="93">
        <f t="shared" si="9"/>
        <v>146.26</v>
      </c>
      <c r="T49" s="90">
        <f t="shared" si="10"/>
        <v>145.37</v>
      </c>
      <c r="U49" s="90">
        <f t="shared" si="11"/>
        <v>-0.890000000000001</v>
      </c>
      <c r="V49" s="120"/>
    </row>
    <row r="50" ht="41" customHeight="1" spans="1:22">
      <c r="A50" s="3">
        <v>47</v>
      </c>
      <c r="B50" s="4" t="s">
        <v>63</v>
      </c>
      <c r="C50" s="88">
        <v>0</v>
      </c>
      <c r="D50" s="89">
        <v>0</v>
      </c>
      <c r="E50" s="88">
        <v>0</v>
      </c>
      <c r="F50" s="90">
        <v>0</v>
      </c>
      <c r="G50" s="90">
        <f t="shared" si="7"/>
        <v>0</v>
      </c>
      <c r="H50" s="88">
        <v>0</v>
      </c>
      <c r="I50" s="89">
        <v>0</v>
      </c>
      <c r="J50" s="88">
        <v>0</v>
      </c>
      <c r="K50" s="90">
        <v>0</v>
      </c>
      <c r="L50" s="90">
        <f t="shared" si="8"/>
        <v>0</v>
      </c>
      <c r="M50" s="88">
        <v>0</v>
      </c>
      <c r="N50" s="89">
        <v>0</v>
      </c>
      <c r="O50" s="88">
        <v>0</v>
      </c>
      <c r="P50" s="106">
        <f t="shared" si="6"/>
        <v>500</v>
      </c>
      <c r="Q50" s="90">
        <v>0</v>
      </c>
      <c r="R50" s="90">
        <v>0</v>
      </c>
      <c r="S50" s="93">
        <f t="shared" si="9"/>
        <v>0</v>
      </c>
      <c r="T50" s="90">
        <f t="shared" si="10"/>
        <v>0</v>
      </c>
      <c r="U50" s="90">
        <f t="shared" si="11"/>
        <v>0</v>
      </c>
      <c r="V50" s="120"/>
    </row>
    <row r="51" ht="41" customHeight="1" spans="1:22">
      <c r="A51" s="3">
        <v>48</v>
      </c>
      <c r="B51" s="4" t="s">
        <v>64</v>
      </c>
      <c r="C51" s="88">
        <v>0</v>
      </c>
      <c r="D51" s="89">
        <v>0</v>
      </c>
      <c r="E51" s="88">
        <v>0</v>
      </c>
      <c r="F51" s="90">
        <v>0</v>
      </c>
      <c r="G51" s="90">
        <f t="shared" si="7"/>
        <v>0</v>
      </c>
      <c r="H51" s="88">
        <v>0</v>
      </c>
      <c r="I51" s="89">
        <v>0</v>
      </c>
      <c r="J51" s="88">
        <v>0</v>
      </c>
      <c r="K51" s="90">
        <v>0</v>
      </c>
      <c r="L51" s="90">
        <f t="shared" si="8"/>
        <v>0</v>
      </c>
      <c r="M51" s="88">
        <v>0</v>
      </c>
      <c r="N51" s="89">
        <v>0</v>
      </c>
      <c r="O51" s="88">
        <v>0</v>
      </c>
      <c r="P51" s="106">
        <f t="shared" si="6"/>
        <v>500</v>
      </c>
      <c r="Q51" s="90">
        <v>0</v>
      </c>
      <c r="R51" s="90">
        <v>0</v>
      </c>
      <c r="S51" s="93">
        <f t="shared" si="9"/>
        <v>0</v>
      </c>
      <c r="T51" s="90">
        <f t="shared" si="10"/>
        <v>0</v>
      </c>
      <c r="U51" s="90">
        <f t="shared" si="11"/>
        <v>0</v>
      </c>
      <c r="V51" s="120"/>
    </row>
    <row r="52" ht="45" customHeight="1" spans="1:22">
      <c r="A52" s="3">
        <v>49</v>
      </c>
      <c r="B52" s="4" t="s">
        <v>65</v>
      </c>
      <c r="C52" s="88">
        <v>650</v>
      </c>
      <c r="D52" s="89">
        <v>3</v>
      </c>
      <c r="E52" s="88">
        <v>3.02</v>
      </c>
      <c r="F52" s="90">
        <v>3.02</v>
      </c>
      <c r="G52" s="90">
        <f t="shared" si="7"/>
        <v>0</v>
      </c>
      <c r="H52" s="88">
        <v>0</v>
      </c>
      <c r="I52" s="89">
        <v>0</v>
      </c>
      <c r="J52" s="88">
        <v>0</v>
      </c>
      <c r="K52" s="90">
        <v>0</v>
      </c>
      <c r="L52" s="90">
        <f t="shared" si="8"/>
        <v>0</v>
      </c>
      <c r="M52" s="88">
        <v>0</v>
      </c>
      <c r="N52" s="89">
        <v>0</v>
      </c>
      <c r="O52" s="88">
        <v>0</v>
      </c>
      <c r="P52" s="106">
        <f t="shared" si="6"/>
        <v>500</v>
      </c>
      <c r="Q52" s="90">
        <v>0</v>
      </c>
      <c r="R52" s="90">
        <v>0</v>
      </c>
      <c r="S52" s="93">
        <f t="shared" si="9"/>
        <v>3.02</v>
      </c>
      <c r="T52" s="90">
        <f t="shared" si="10"/>
        <v>3.02</v>
      </c>
      <c r="U52" s="90">
        <f t="shared" si="11"/>
        <v>0</v>
      </c>
      <c r="V52" s="120"/>
    </row>
    <row r="53" ht="45" customHeight="1" spans="1:22">
      <c r="A53" s="3">
        <v>50</v>
      </c>
      <c r="B53" s="4" t="s">
        <v>66</v>
      </c>
      <c r="C53" s="88">
        <v>6267.32</v>
      </c>
      <c r="D53" s="89">
        <v>43</v>
      </c>
      <c r="E53" s="88">
        <v>30.96</v>
      </c>
      <c r="F53" s="90">
        <v>30.96</v>
      </c>
      <c r="G53" s="90">
        <f t="shared" si="7"/>
        <v>0</v>
      </c>
      <c r="H53" s="88">
        <v>8675</v>
      </c>
      <c r="I53" s="89">
        <v>8</v>
      </c>
      <c r="J53" s="88">
        <v>42.63</v>
      </c>
      <c r="K53" s="90">
        <v>42.63</v>
      </c>
      <c r="L53" s="90">
        <f t="shared" si="8"/>
        <v>0</v>
      </c>
      <c r="M53" s="88">
        <v>13941.5</v>
      </c>
      <c r="N53" s="89">
        <v>91</v>
      </c>
      <c r="O53" s="88">
        <v>26.48</v>
      </c>
      <c r="P53" s="106">
        <f t="shared" si="6"/>
        <v>473.52</v>
      </c>
      <c r="Q53" s="90">
        <v>26.48</v>
      </c>
      <c r="R53" s="90">
        <v>0</v>
      </c>
      <c r="S53" s="93">
        <f t="shared" si="9"/>
        <v>100.07</v>
      </c>
      <c r="T53" s="90">
        <f t="shared" si="10"/>
        <v>100.07</v>
      </c>
      <c r="U53" s="90">
        <f t="shared" si="11"/>
        <v>0</v>
      </c>
      <c r="V53" s="120"/>
    </row>
    <row r="54" ht="56" customHeight="1" spans="1:22">
      <c r="A54" s="3">
        <v>51</v>
      </c>
      <c r="B54" s="4" t="s">
        <v>67</v>
      </c>
      <c r="C54" s="88">
        <v>7110</v>
      </c>
      <c r="D54" s="89">
        <v>35</v>
      </c>
      <c r="E54" s="88">
        <v>35.55</v>
      </c>
      <c r="F54" s="90">
        <v>35.55</v>
      </c>
      <c r="G54" s="90">
        <f t="shared" si="7"/>
        <v>0</v>
      </c>
      <c r="H54" s="88">
        <v>1000</v>
      </c>
      <c r="I54" s="89">
        <v>1</v>
      </c>
      <c r="J54" s="88">
        <v>5</v>
      </c>
      <c r="K54" s="90">
        <v>5</v>
      </c>
      <c r="L54" s="90">
        <f t="shared" si="8"/>
        <v>0</v>
      </c>
      <c r="M54" s="88">
        <v>0</v>
      </c>
      <c r="N54" s="89">
        <v>0</v>
      </c>
      <c r="O54" s="88">
        <v>0</v>
      </c>
      <c r="P54" s="106">
        <f t="shared" si="6"/>
        <v>500</v>
      </c>
      <c r="Q54" s="90">
        <v>0</v>
      </c>
      <c r="R54" s="90">
        <v>0</v>
      </c>
      <c r="S54" s="93">
        <f t="shared" si="9"/>
        <v>40.55</v>
      </c>
      <c r="T54" s="90">
        <f t="shared" si="10"/>
        <v>40.55</v>
      </c>
      <c r="U54" s="90">
        <f t="shared" si="11"/>
        <v>0</v>
      </c>
      <c r="V54" s="120"/>
    </row>
    <row r="55" ht="43" customHeight="1" spans="1:22">
      <c r="A55" s="3">
        <v>52</v>
      </c>
      <c r="B55" s="4" t="s">
        <v>68</v>
      </c>
      <c r="C55" s="88">
        <v>0</v>
      </c>
      <c r="D55" s="89">
        <v>0</v>
      </c>
      <c r="E55" s="88">
        <v>0</v>
      </c>
      <c r="F55" s="90">
        <v>0</v>
      </c>
      <c r="G55" s="90">
        <f t="shared" si="7"/>
        <v>0</v>
      </c>
      <c r="H55" s="88">
        <v>0</v>
      </c>
      <c r="I55" s="89">
        <v>0</v>
      </c>
      <c r="J55" s="88">
        <v>0</v>
      </c>
      <c r="K55" s="90">
        <v>0</v>
      </c>
      <c r="L55" s="90">
        <f t="shared" si="8"/>
        <v>0</v>
      </c>
      <c r="M55" s="88">
        <v>0</v>
      </c>
      <c r="N55" s="89">
        <v>0</v>
      </c>
      <c r="O55" s="88">
        <v>0</v>
      </c>
      <c r="P55" s="106">
        <f t="shared" si="6"/>
        <v>500</v>
      </c>
      <c r="Q55" s="90">
        <v>0</v>
      </c>
      <c r="R55" s="90">
        <v>0</v>
      </c>
      <c r="S55" s="93">
        <f t="shared" si="9"/>
        <v>0</v>
      </c>
      <c r="T55" s="90">
        <f t="shared" si="10"/>
        <v>0</v>
      </c>
      <c r="U55" s="90">
        <f t="shared" si="11"/>
        <v>0</v>
      </c>
      <c r="V55" s="120"/>
    </row>
    <row r="56" ht="45" customHeight="1" spans="1:22">
      <c r="A56" s="3">
        <v>53</v>
      </c>
      <c r="B56" s="4" t="s">
        <v>69</v>
      </c>
      <c r="C56" s="88">
        <v>1040</v>
      </c>
      <c r="D56" s="89">
        <v>3</v>
      </c>
      <c r="E56" s="88">
        <v>5.2</v>
      </c>
      <c r="F56" s="90">
        <v>5.2</v>
      </c>
      <c r="G56" s="90">
        <f t="shared" si="7"/>
        <v>0</v>
      </c>
      <c r="H56" s="88">
        <v>0</v>
      </c>
      <c r="I56" s="89">
        <v>0</v>
      </c>
      <c r="J56" s="88">
        <v>0</v>
      </c>
      <c r="K56" s="90">
        <v>0</v>
      </c>
      <c r="L56" s="90">
        <f t="shared" si="8"/>
        <v>0</v>
      </c>
      <c r="M56" s="88">
        <v>0</v>
      </c>
      <c r="N56" s="89">
        <v>0</v>
      </c>
      <c r="O56" s="88">
        <v>0</v>
      </c>
      <c r="P56" s="106">
        <f t="shared" si="6"/>
        <v>500</v>
      </c>
      <c r="Q56" s="90">
        <v>0</v>
      </c>
      <c r="R56" s="90">
        <v>0</v>
      </c>
      <c r="S56" s="93">
        <f t="shared" si="9"/>
        <v>5.2</v>
      </c>
      <c r="T56" s="90">
        <f t="shared" si="10"/>
        <v>5.2</v>
      </c>
      <c r="U56" s="90">
        <f t="shared" si="11"/>
        <v>0</v>
      </c>
      <c r="V56" s="120"/>
    </row>
    <row r="57" ht="45" customHeight="1" spans="1:22">
      <c r="A57" s="3">
        <v>54</v>
      </c>
      <c r="B57" s="4" t="s">
        <v>70</v>
      </c>
      <c r="C57" s="88">
        <v>5970</v>
      </c>
      <c r="D57" s="89">
        <v>26</v>
      </c>
      <c r="E57" s="88">
        <v>29.6</v>
      </c>
      <c r="F57" s="90">
        <v>29.6</v>
      </c>
      <c r="G57" s="90">
        <f t="shared" si="7"/>
        <v>0</v>
      </c>
      <c r="H57" s="88">
        <v>6450</v>
      </c>
      <c r="I57" s="89">
        <v>7</v>
      </c>
      <c r="J57" s="88">
        <v>32</v>
      </c>
      <c r="K57" s="90">
        <v>32</v>
      </c>
      <c r="L57" s="90">
        <f t="shared" si="8"/>
        <v>0</v>
      </c>
      <c r="M57" s="88">
        <v>13741.6</v>
      </c>
      <c r="N57" s="89">
        <v>89</v>
      </c>
      <c r="O57" s="88">
        <v>27.48</v>
      </c>
      <c r="P57" s="106">
        <f t="shared" si="6"/>
        <v>472.52</v>
      </c>
      <c r="Q57" s="90">
        <v>27.48</v>
      </c>
      <c r="R57" s="90">
        <v>0</v>
      </c>
      <c r="S57" s="93">
        <f t="shared" si="9"/>
        <v>89.08</v>
      </c>
      <c r="T57" s="90">
        <f t="shared" si="10"/>
        <v>89.08</v>
      </c>
      <c r="U57" s="90">
        <f t="shared" si="11"/>
        <v>0</v>
      </c>
      <c r="V57" s="120"/>
    </row>
    <row r="58" ht="37" customHeight="1" spans="1:22">
      <c r="A58" s="3">
        <v>55</v>
      </c>
      <c r="B58" s="4" t="s">
        <v>71</v>
      </c>
      <c r="C58" s="88">
        <v>0</v>
      </c>
      <c r="D58" s="89">
        <v>0</v>
      </c>
      <c r="E58" s="88">
        <v>0</v>
      </c>
      <c r="F58" s="90">
        <v>0</v>
      </c>
      <c r="G58" s="90">
        <f t="shared" si="7"/>
        <v>0</v>
      </c>
      <c r="H58" s="88">
        <v>0</v>
      </c>
      <c r="I58" s="89">
        <v>0</v>
      </c>
      <c r="J58" s="88">
        <v>0</v>
      </c>
      <c r="K58" s="90">
        <v>0</v>
      </c>
      <c r="L58" s="90">
        <f t="shared" si="8"/>
        <v>0</v>
      </c>
      <c r="M58" s="88">
        <v>0</v>
      </c>
      <c r="N58" s="89">
        <v>0</v>
      </c>
      <c r="O58" s="88">
        <v>0</v>
      </c>
      <c r="P58" s="106">
        <f t="shared" si="6"/>
        <v>500</v>
      </c>
      <c r="Q58" s="90">
        <v>0</v>
      </c>
      <c r="R58" s="90">
        <v>0</v>
      </c>
      <c r="S58" s="93">
        <f t="shared" si="9"/>
        <v>0</v>
      </c>
      <c r="T58" s="90">
        <f t="shared" si="10"/>
        <v>0</v>
      </c>
      <c r="U58" s="90">
        <f t="shared" si="11"/>
        <v>0</v>
      </c>
      <c r="V58" s="120"/>
    </row>
    <row r="59" ht="45" customHeight="1" spans="1:22">
      <c r="A59" s="3">
        <v>56</v>
      </c>
      <c r="B59" s="4" t="s">
        <v>72</v>
      </c>
      <c r="C59" s="88">
        <v>500</v>
      </c>
      <c r="D59" s="89">
        <v>1</v>
      </c>
      <c r="E59" s="88">
        <v>2.5</v>
      </c>
      <c r="F59" s="90">
        <v>2.5</v>
      </c>
      <c r="G59" s="90">
        <f t="shared" si="7"/>
        <v>0</v>
      </c>
      <c r="H59" s="88">
        <v>0</v>
      </c>
      <c r="I59" s="89">
        <v>0</v>
      </c>
      <c r="J59" s="88">
        <v>0</v>
      </c>
      <c r="K59" s="90">
        <v>0</v>
      </c>
      <c r="L59" s="90">
        <f t="shared" si="8"/>
        <v>0</v>
      </c>
      <c r="M59" s="88">
        <v>0</v>
      </c>
      <c r="N59" s="89">
        <v>0</v>
      </c>
      <c r="O59" s="88">
        <v>0</v>
      </c>
      <c r="P59" s="106">
        <f t="shared" si="6"/>
        <v>500</v>
      </c>
      <c r="Q59" s="90">
        <v>0</v>
      </c>
      <c r="R59" s="90">
        <v>0</v>
      </c>
      <c r="S59" s="93">
        <f t="shared" si="9"/>
        <v>2.5</v>
      </c>
      <c r="T59" s="90">
        <f t="shared" si="10"/>
        <v>2.5</v>
      </c>
      <c r="U59" s="90">
        <f t="shared" si="11"/>
        <v>0</v>
      </c>
      <c r="V59" s="120"/>
    </row>
    <row r="60" ht="45" customHeight="1" spans="1:22">
      <c r="A60" s="3">
        <v>57</v>
      </c>
      <c r="B60" s="4" t="s">
        <v>73</v>
      </c>
      <c r="C60" s="88">
        <v>5095</v>
      </c>
      <c r="D60" s="89">
        <v>30</v>
      </c>
      <c r="E60" s="88">
        <v>25.48</v>
      </c>
      <c r="F60" s="90">
        <v>25.48</v>
      </c>
      <c r="G60" s="90">
        <f t="shared" si="7"/>
        <v>0</v>
      </c>
      <c r="H60" s="88">
        <v>0</v>
      </c>
      <c r="I60" s="89">
        <v>0</v>
      </c>
      <c r="J60" s="88">
        <v>0</v>
      </c>
      <c r="K60" s="90">
        <v>0</v>
      </c>
      <c r="L60" s="90">
        <f t="shared" si="8"/>
        <v>0</v>
      </c>
      <c r="M60" s="88">
        <v>0</v>
      </c>
      <c r="N60" s="89">
        <v>0</v>
      </c>
      <c r="O60" s="88">
        <v>0</v>
      </c>
      <c r="P60" s="106">
        <f t="shared" si="6"/>
        <v>500</v>
      </c>
      <c r="Q60" s="90">
        <v>0</v>
      </c>
      <c r="R60" s="90">
        <v>0</v>
      </c>
      <c r="S60" s="93">
        <f t="shared" si="9"/>
        <v>25.48</v>
      </c>
      <c r="T60" s="90">
        <f t="shared" si="10"/>
        <v>25.48</v>
      </c>
      <c r="U60" s="90">
        <f t="shared" si="11"/>
        <v>0</v>
      </c>
      <c r="V60" s="120"/>
    </row>
    <row r="61" ht="45" customHeight="1" spans="1:22">
      <c r="A61" s="91" t="s">
        <v>74</v>
      </c>
      <c r="B61" s="92"/>
      <c r="C61" s="93">
        <f>SUM(C4:C60)</f>
        <v>435799.697369</v>
      </c>
      <c r="D61" s="94">
        <f t="shared" ref="D61:U61" si="12">SUM(D4:D60)</f>
        <v>2130</v>
      </c>
      <c r="E61" s="93">
        <f t="shared" si="12"/>
        <v>2147.22</v>
      </c>
      <c r="F61" s="90">
        <f t="shared" si="12"/>
        <v>2070.17</v>
      </c>
      <c r="G61" s="90">
        <f t="shared" si="7"/>
        <v>-77.0500000000002</v>
      </c>
      <c r="H61" s="93">
        <f t="shared" si="12"/>
        <v>213526</v>
      </c>
      <c r="I61" s="94">
        <f t="shared" si="12"/>
        <v>230</v>
      </c>
      <c r="J61" s="93">
        <f t="shared" si="12"/>
        <v>1021.89</v>
      </c>
      <c r="K61" s="90">
        <f t="shared" si="12"/>
        <v>968.87</v>
      </c>
      <c r="L61" s="90">
        <f t="shared" si="8"/>
        <v>-53.0199999999999</v>
      </c>
      <c r="M61" s="93">
        <f t="shared" si="12"/>
        <v>676726.19</v>
      </c>
      <c r="N61" s="94">
        <f t="shared" si="12"/>
        <v>7048</v>
      </c>
      <c r="O61" s="93">
        <f t="shared" si="12"/>
        <v>1328.99</v>
      </c>
      <c r="P61" s="93"/>
      <c r="Q61" s="90">
        <f t="shared" si="12"/>
        <v>1328.67</v>
      </c>
      <c r="R61" s="90">
        <f t="shared" si="12"/>
        <v>-0.319999999999808</v>
      </c>
      <c r="S61" s="93">
        <f t="shared" si="12"/>
        <v>4498.1</v>
      </c>
      <c r="T61" s="90">
        <f t="shared" si="10"/>
        <v>4367.71</v>
      </c>
      <c r="U61" s="90">
        <f t="shared" si="11"/>
        <v>-130.39</v>
      </c>
      <c r="V61" s="120"/>
    </row>
    <row r="62" ht="20" hidden="1" customHeight="1" spans="3:21">
      <c r="C62" s="96"/>
      <c r="D62" s="97"/>
      <c r="E62" s="96"/>
      <c r="F62" s="98"/>
      <c r="G62" s="98"/>
      <c r="H62" s="96"/>
      <c r="I62" s="97"/>
      <c r="J62" s="96"/>
      <c r="K62" s="98"/>
      <c r="L62" s="98"/>
      <c r="M62" s="107"/>
      <c r="N62" s="108"/>
      <c r="O62" s="107"/>
      <c r="P62" s="107"/>
      <c r="Q62" s="121"/>
      <c r="R62" s="121"/>
      <c r="S62" s="122"/>
      <c r="T62" s="123"/>
      <c r="U62" s="123"/>
    </row>
    <row r="63" ht="20" hidden="1" customHeight="1" spans="3:21">
      <c r="C63" s="96"/>
      <c r="D63" s="97"/>
      <c r="E63" s="96"/>
      <c r="F63" s="98"/>
      <c r="G63" s="98"/>
      <c r="H63" s="96"/>
      <c r="I63" s="97"/>
      <c r="J63" s="96"/>
      <c r="K63" s="98"/>
      <c r="L63" s="98"/>
      <c r="M63" s="107"/>
      <c r="N63" s="108"/>
      <c r="O63" s="107"/>
      <c r="P63" s="107"/>
      <c r="Q63" s="121"/>
      <c r="R63" s="121"/>
      <c r="S63" s="122"/>
      <c r="T63" s="123"/>
      <c r="U63" s="123"/>
    </row>
    <row r="64" ht="50" customHeight="1" spans="1:21">
      <c r="A64" s="160" t="s">
        <v>75</v>
      </c>
      <c r="B64" s="92">
        <f>SUM(D61,I61,N61)</f>
        <v>9408</v>
      </c>
      <c r="C64" s="91" t="s">
        <v>76</v>
      </c>
      <c r="D64" s="127"/>
      <c r="E64" s="91">
        <f>SUM(D61,I61)</f>
        <v>2360</v>
      </c>
      <c r="F64" s="92"/>
      <c r="G64" s="91" t="s">
        <v>77</v>
      </c>
      <c r="H64" s="92"/>
      <c r="I64" s="133">
        <f>SUM(F61,K61)</f>
        <v>3039.04</v>
      </c>
      <c r="J64" s="134"/>
      <c r="K64" s="91" t="s">
        <v>78</v>
      </c>
      <c r="L64" s="92"/>
      <c r="M64" s="91">
        <f>SUM(C61,H61)</f>
        <v>649325.697369</v>
      </c>
      <c r="N64" s="127"/>
      <c r="O64" s="91"/>
      <c r="P64" s="92"/>
      <c r="Q64" s="121"/>
      <c r="R64" s="121"/>
      <c r="S64" s="122"/>
      <c r="T64" s="123"/>
      <c r="U64" s="123"/>
    </row>
    <row r="65" ht="20" customHeight="1" spans="3:21">
      <c r="C65" s="96"/>
      <c r="D65" s="97"/>
      <c r="E65" s="96"/>
      <c r="F65" s="98"/>
      <c r="G65" s="98"/>
      <c r="H65" s="96"/>
      <c r="I65" s="97"/>
      <c r="J65" s="96"/>
      <c r="K65" s="98"/>
      <c r="L65" s="98"/>
      <c r="M65" s="107"/>
      <c r="N65" s="108"/>
      <c r="O65" s="107"/>
      <c r="P65" s="107"/>
      <c r="Q65" s="121"/>
      <c r="R65" s="121"/>
      <c r="S65" s="122"/>
      <c r="T65" s="123"/>
      <c r="U65" s="123"/>
    </row>
    <row r="66" ht="20" customHeight="1" spans="3:21">
      <c r="C66" s="96"/>
      <c r="D66" s="97"/>
      <c r="E66" s="96"/>
      <c r="F66" s="98"/>
      <c r="G66" s="98"/>
      <c r="H66" s="96"/>
      <c r="I66" s="97"/>
      <c r="J66" s="96"/>
      <c r="K66" s="98"/>
      <c r="L66" s="98"/>
      <c r="M66" s="107"/>
      <c r="N66" s="108"/>
      <c r="O66" s="107"/>
      <c r="P66" s="107"/>
      <c r="Q66" s="121"/>
      <c r="R66" s="121"/>
      <c r="S66" s="122"/>
      <c r="T66" s="123"/>
      <c r="U66" s="123"/>
    </row>
  </sheetData>
  <autoFilter ref="A1:V61">
    <extLst/>
  </autoFilter>
  <mergeCells count="17">
    <mergeCell ref="A1:V1"/>
    <mergeCell ref="C2:L2"/>
    <mergeCell ref="M2:R2"/>
    <mergeCell ref="A61:B61"/>
    <mergeCell ref="C64:D64"/>
    <mergeCell ref="E64:F64"/>
    <mergeCell ref="G64:H64"/>
    <mergeCell ref="I64:J64"/>
    <mergeCell ref="K64:L64"/>
    <mergeCell ref="M64:N64"/>
    <mergeCell ref="O64:P64"/>
    <mergeCell ref="A2:A3"/>
    <mergeCell ref="B2:B3"/>
    <mergeCell ref="S2:S3"/>
    <mergeCell ref="T2:T3"/>
    <mergeCell ref="U2:U3"/>
    <mergeCell ref="V2:V3"/>
  </mergeCells>
  <pageMargins left="0.748031496062992" right="0.748031496062992" top="0.590277777777778" bottom="0.629861111111111" header="0.511811023622047" footer="0.511811023622047"/>
  <pageSetup paperSize="8" scale="3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1"/>
  </sheetPr>
  <dimension ref="A1:XFD77"/>
  <sheetViews>
    <sheetView tabSelected="1" view="pageBreakPreview" zoomScale="40" zoomScaleNormal="55" topLeftCell="D1" workbookViewId="0">
      <pane ySplit="4" topLeftCell="A51" activePane="bottomLeft" state="frozen"/>
      <selection/>
      <selection pane="bottomLeft" activeCell="H55" sqref="H55"/>
    </sheetView>
  </sheetViews>
  <sheetFormatPr defaultColWidth="8.87387387387387" defaultRowHeight="22.7"/>
  <cols>
    <col min="1" max="1" width="15.0540540540541" customWidth="1"/>
    <col min="2" max="2" width="66.8288288288288" style="65" customWidth="1"/>
    <col min="3" max="3" width="28.5675675675676" style="66" customWidth="1"/>
    <col min="4" max="4" width="15.8108108108108" style="67" customWidth="1"/>
    <col min="5" max="5" width="20.2612612612613" style="66" customWidth="1"/>
    <col min="6" max="6" width="27.045045045045" style="68" customWidth="1"/>
    <col min="7" max="7" width="23.7477477477477" style="68" customWidth="1"/>
    <col min="8" max="8" width="29.5945945945946" style="66" customWidth="1"/>
    <col min="9" max="9" width="14.1351351351351" style="67" customWidth="1"/>
    <col min="10" max="10" width="18.1261261261261" style="66" customWidth="1"/>
    <col min="11" max="12" width="27.4954954954955" style="68" customWidth="1"/>
    <col min="13" max="13" width="25.6576576576577" style="69" customWidth="1"/>
    <col min="14" max="14" width="17.2522522522523" style="70" customWidth="1"/>
    <col min="15" max="15" width="19.3873873873874" style="69" customWidth="1"/>
    <col min="16" max="16" width="20.4954954954955" style="71" customWidth="1"/>
    <col min="17" max="18" width="26.2522522522523" style="72" customWidth="1"/>
    <col min="19" max="19" width="21.3063063063063" style="73" customWidth="1"/>
    <col min="20" max="21" width="21.3063063063063" style="74" customWidth="1"/>
    <col min="22" max="22" width="32.9009009009009" customWidth="1"/>
    <col min="23" max="24" width="12.3783783783784" customWidth="1"/>
    <col min="25" max="25" width="19" style="64"/>
    <col min="26" max="29" width="8.87387387387387" style="64"/>
    <col min="30" max="30" width="10.7477477477477" style="64"/>
    <col min="31" max="32" width="8.87387387387387" style="64"/>
  </cols>
  <sheetData>
    <row r="1" ht="40" customHeight="1" spans="1:1">
      <c r="A1" s="75" t="s">
        <v>79</v>
      </c>
    </row>
    <row r="2" ht="93" customHeight="1" spans="1:22">
      <c r="A2" s="76" t="s">
        <v>80</v>
      </c>
      <c r="B2" s="77"/>
      <c r="C2" s="78"/>
      <c r="D2" s="79"/>
      <c r="E2" s="78"/>
      <c r="F2" s="80"/>
      <c r="G2" s="80"/>
      <c r="H2" s="78"/>
      <c r="I2" s="79"/>
      <c r="J2" s="78"/>
      <c r="K2" s="80"/>
      <c r="L2" s="80"/>
      <c r="M2" s="78"/>
      <c r="N2" s="79"/>
      <c r="O2" s="78"/>
      <c r="P2" s="99"/>
      <c r="Q2" s="80"/>
      <c r="R2" s="80"/>
      <c r="S2" s="99"/>
      <c r="T2" s="80"/>
      <c r="U2" s="80"/>
      <c r="V2" s="109"/>
    </row>
    <row r="3" ht="80" customHeight="1" spans="1:22">
      <c r="A3" s="1" t="s">
        <v>1</v>
      </c>
      <c r="B3" s="2" t="s">
        <v>2</v>
      </c>
      <c r="C3" s="81" t="s">
        <v>3</v>
      </c>
      <c r="D3" s="82"/>
      <c r="E3" s="81"/>
      <c r="F3" s="83"/>
      <c r="G3" s="83"/>
      <c r="H3" s="81"/>
      <c r="I3" s="82"/>
      <c r="J3" s="81"/>
      <c r="K3" s="83"/>
      <c r="L3" s="83"/>
      <c r="M3" s="100" t="s">
        <v>4</v>
      </c>
      <c r="N3" s="101"/>
      <c r="O3" s="102"/>
      <c r="P3" s="103"/>
      <c r="Q3" s="103"/>
      <c r="R3" s="110"/>
      <c r="S3" s="111" t="s">
        <v>81</v>
      </c>
      <c r="T3" s="112" t="s">
        <v>82</v>
      </c>
      <c r="U3" s="113" t="s">
        <v>7</v>
      </c>
      <c r="V3" s="114" t="s">
        <v>8</v>
      </c>
    </row>
    <row r="4" ht="85" customHeight="1" spans="1:24">
      <c r="A4" s="1"/>
      <c r="B4" s="2"/>
      <c r="C4" s="84" t="s">
        <v>9</v>
      </c>
      <c r="D4" s="85" t="s">
        <v>10</v>
      </c>
      <c r="E4" s="84" t="s">
        <v>83</v>
      </c>
      <c r="F4" s="86" t="s">
        <v>84</v>
      </c>
      <c r="G4" s="87" t="s">
        <v>13</v>
      </c>
      <c r="H4" s="84" t="s">
        <v>14</v>
      </c>
      <c r="I4" s="85" t="s">
        <v>10</v>
      </c>
      <c r="J4" s="84" t="s">
        <v>83</v>
      </c>
      <c r="K4" s="86" t="s">
        <v>84</v>
      </c>
      <c r="L4" s="87" t="s">
        <v>13</v>
      </c>
      <c r="M4" s="104" t="s">
        <v>15</v>
      </c>
      <c r="N4" s="85" t="s">
        <v>10</v>
      </c>
      <c r="O4" s="104" t="s">
        <v>83</v>
      </c>
      <c r="P4" s="105" t="s">
        <v>16</v>
      </c>
      <c r="Q4" s="115" t="s">
        <v>84</v>
      </c>
      <c r="R4" s="116" t="s">
        <v>13</v>
      </c>
      <c r="S4" s="117"/>
      <c r="T4" s="86"/>
      <c r="U4" s="87"/>
      <c r="V4" s="118"/>
      <c r="W4" s="119" t="s">
        <v>85</v>
      </c>
      <c r="X4" s="119" t="s">
        <v>86</v>
      </c>
    </row>
    <row r="5" ht="45" customHeight="1" spans="1:24">
      <c r="A5" s="3">
        <v>1</v>
      </c>
      <c r="B5" s="4" t="s">
        <v>17</v>
      </c>
      <c r="C5" s="88">
        <f>VLOOKUP(B5,'2加工'!$B$3:$U$47,2,0)</f>
        <v>27961</v>
      </c>
      <c r="D5" s="89">
        <f>VLOOKUP(B5,'2加工'!$B$3:$U$48,3,0)</f>
        <v>88</v>
      </c>
      <c r="E5" s="88">
        <f>VLOOKUP(B5,'2加工'!$B$3:$U$48,4,0)</f>
        <v>137.2</v>
      </c>
      <c r="F5" s="90">
        <f>VLOOKUP(B5,'2加工'!$B$3:$U$48,5,0)</f>
        <v>137.2</v>
      </c>
      <c r="G5" s="90">
        <f>E5-F5</f>
        <v>0</v>
      </c>
      <c r="H5" s="88">
        <f>VLOOKUP(B5,'2加工'!$B$3:$U$48,7,0)</f>
        <v>8250</v>
      </c>
      <c r="I5" s="89">
        <f>VLOOKUP(B5,'2加工'!$B$3:$U$48,8,0)</f>
        <v>9</v>
      </c>
      <c r="J5" s="88">
        <f>VLOOKUP(B5,'2加工'!$B$3:$U$48,9,0)</f>
        <v>33.61</v>
      </c>
      <c r="K5" s="90">
        <f>VLOOKUP(B5,'2加工'!$B$3:$U$48,10,0)</f>
        <v>31.17</v>
      </c>
      <c r="L5" s="90">
        <f>J5-K5</f>
        <v>2.44</v>
      </c>
      <c r="M5" s="88">
        <f>VLOOKUP(B5,'2加工'!$B$3:$U$48,12,0)</f>
        <v>146988.7</v>
      </c>
      <c r="N5" s="89">
        <f>VLOOKUP(B5,'2加工'!$B$3:$U$48,13,0)</f>
        <v>2363</v>
      </c>
      <c r="O5" s="88">
        <f>VLOOKUP(B5,'2加工'!$B$3:$U$48,14,0)</f>
        <v>273.05</v>
      </c>
      <c r="P5" s="106">
        <f t="shared" ref="P5:P61" si="0">500-Q5</f>
        <v>226.95</v>
      </c>
      <c r="Q5" s="90">
        <f>VLOOKUP(B5,'2加工'!$B$3:$U$48,16,0)</f>
        <v>273.05</v>
      </c>
      <c r="R5" s="90">
        <f>+O5-Q5</f>
        <v>0</v>
      </c>
      <c r="S5" s="93">
        <f>SUM(E5,J5,O5)</f>
        <v>443.86</v>
      </c>
      <c r="T5" s="90">
        <f>SUM(F5,K5,Q5)</f>
        <v>441.42</v>
      </c>
      <c r="U5" s="90">
        <f>SUM(G5,L5,R5)</f>
        <v>2.44</v>
      </c>
      <c r="V5" s="3"/>
      <c r="W5" s="88">
        <v>273.05</v>
      </c>
      <c r="X5" s="88">
        <v>226.95</v>
      </c>
    </row>
    <row r="6" ht="45" customHeight="1" spans="1:24">
      <c r="A6" s="3">
        <v>2</v>
      </c>
      <c r="B6" s="4" t="s">
        <v>18</v>
      </c>
      <c r="C6" s="88">
        <f>VLOOKUP(B6,'2加工'!$B$3:$U$47,2,0)</f>
        <v>5939</v>
      </c>
      <c r="D6" s="89">
        <f>VLOOKUP(B6,'2加工'!$B$3:$U$48,3,0)</f>
        <v>17</v>
      </c>
      <c r="E6" s="88">
        <f>VLOOKUP(B6,'2加工'!$B$3:$U$48,4,0)</f>
        <v>24.77</v>
      </c>
      <c r="F6" s="90">
        <f>VLOOKUP(B6,'2加工'!$B$3:$U$48,5,0)</f>
        <v>20.05</v>
      </c>
      <c r="G6" s="90">
        <f>E6-F6</f>
        <v>4.72</v>
      </c>
      <c r="H6" s="88">
        <f>VLOOKUP(B6,'2加工'!$B$3:$U$48,7,0)</f>
        <v>14094</v>
      </c>
      <c r="I6" s="89">
        <f>VLOOKUP(B6,'2加工'!$B$3:$U$48,8,0)</f>
        <v>14</v>
      </c>
      <c r="J6" s="88">
        <f>VLOOKUP(B6,'2加工'!$B$3:$U$48,9,0)</f>
        <v>57.64</v>
      </c>
      <c r="K6" s="90">
        <f>VLOOKUP(B6,'2加工'!$B$3:$U$48,10,0)</f>
        <v>38.34</v>
      </c>
      <c r="L6" s="90">
        <f>J6-K6</f>
        <v>19.3</v>
      </c>
      <c r="M6" s="88">
        <f>VLOOKUP(B6,'2加工'!$B$3:$U$48,12,0)</f>
        <v>0</v>
      </c>
      <c r="N6" s="89">
        <f>VLOOKUP(B6,'2加工'!$B$3:$U$48,13,0)</f>
        <v>0</v>
      </c>
      <c r="O6" s="88">
        <f>VLOOKUP(B6,'2加工'!$B$3:$U$48,14,0)</f>
        <v>0</v>
      </c>
      <c r="P6" s="106">
        <f t="shared" si="0"/>
        <v>500</v>
      </c>
      <c r="Q6" s="90">
        <f>VLOOKUP(B6,'2加工'!$B$3:$U$48,16,0)</f>
        <v>0</v>
      </c>
      <c r="R6" s="90">
        <f>+O6-Q6</f>
        <v>0</v>
      </c>
      <c r="S6" s="93">
        <f>SUM(E6,J6,O6)</f>
        <v>82.41</v>
      </c>
      <c r="T6" s="90">
        <f>SUM(F6,K6,Q6)</f>
        <v>58.39</v>
      </c>
      <c r="U6" s="90">
        <f>SUM(G6,L6,R6)</f>
        <v>24.02</v>
      </c>
      <c r="V6" s="3"/>
      <c r="W6" s="88">
        <v>0</v>
      </c>
      <c r="X6" s="88">
        <v>500</v>
      </c>
    </row>
    <row r="7" ht="45" customHeight="1" spans="1:24">
      <c r="A7" s="3">
        <v>3</v>
      </c>
      <c r="B7" s="4" t="s">
        <v>19</v>
      </c>
      <c r="C7" s="88">
        <f>VLOOKUP(B7,'2加工'!$B$3:$U$47,2,0)</f>
        <v>33258.93</v>
      </c>
      <c r="D7" s="89">
        <f>VLOOKUP(B7,'2加工'!$B$3:$U$48,3,0)</f>
        <v>163</v>
      </c>
      <c r="E7" s="88">
        <f>VLOOKUP(B7,'2加工'!$B$3:$U$48,4,0)</f>
        <v>163.87</v>
      </c>
      <c r="F7" s="90">
        <f>VLOOKUP(B7,'2加工'!$B$3:$U$48,5,0)</f>
        <v>159.01</v>
      </c>
      <c r="G7" s="90">
        <f>E7-F7</f>
        <v>4.86000000000001</v>
      </c>
      <c r="H7" s="88">
        <f>VLOOKUP(B7,'2加工'!$B$3:$U$48,7,0)</f>
        <v>17289</v>
      </c>
      <c r="I7" s="89">
        <f>VLOOKUP(B7,'2加工'!$B$3:$U$48,8,0)</f>
        <v>19</v>
      </c>
      <c r="J7" s="88">
        <f>VLOOKUP(B7,'2加工'!$B$3:$U$48,9,0)</f>
        <v>85.56</v>
      </c>
      <c r="K7" s="90">
        <f>VLOOKUP(B7,'2加工'!$B$3:$U$48,10,0)</f>
        <v>76.82</v>
      </c>
      <c r="L7" s="90">
        <f>J7-K7</f>
        <v>8.74000000000001</v>
      </c>
      <c r="M7" s="88">
        <f>VLOOKUP(B7,'2加工'!$B$3:$U$48,12,0)</f>
        <v>13688.6</v>
      </c>
      <c r="N7" s="89">
        <f>VLOOKUP(B7,'2加工'!$B$3:$U$48,13,0)</f>
        <v>166</v>
      </c>
      <c r="O7" s="88">
        <f>VLOOKUP(B7,'2加工'!$B$3:$U$48,14,0)</f>
        <v>27.47</v>
      </c>
      <c r="P7" s="106">
        <f t="shared" si="0"/>
        <v>472.53</v>
      </c>
      <c r="Q7" s="90">
        <f>VLOOKUP(B7,'2加工'!$B$3:$U$48,16,0)</f>
        <v>27.47</v>
      </c>
      <c r="R7" s="90">
        <f>+O7-Q7</f>
        <v>0</v>
      </c>
      <c r="S7" s="93">
        <f>SUM(E7,J7,O7)</f>
        <v>276.9</v>
      </c>
      <c r="T7" s="90">
        <f>SUM(F7,K7,Q7)</f>
        <v>263.3</v>
      </c>
      <c r="U7" s="90">
        <f>SUM(G7,L7,R7)</f>
        <v>13.6</v>
      </c>
      <c r="V7" s="3"/>
      <c r="W7" s="88">
        <v>27.47</v>
      </c>
      <c r="X7" s="88">
        <v>472.53</v>
      </c>
    </row>
    <row r="8" ht="45" customHeight="1" spans="1:24">
      <c r="A8" s="3">
        <v>4</v>
      </c>
      <c r="B8" s="4" t="s">
        <v>20</v>
      </c>
      <c r="C8" s="88" t="s">
        <v>87</v>
      </c>
      <c r="D8" s="89" t="s">
        <v>87</v>
      </c>
      <c r="E8" s="88" t="s">
        <v>87</v>
      </c>
      <c r="F8" s="90" t="s">
        <v>87</v>
      </c>
      <c r="G8" s="90" t="s">
        <v>87</v>
      </c>
      <c r="H8" s="88" t="s">
        <v>87</v>
      </c>
      <c r="I8" s="89" t="s">
        <v>87</v>
      </c>
      <c r="J8" s="88" t="s">
        <v>87</v>
      </c>
      <c r="K8" s="90" t="s">
        <v>87</v>
      </c>
      <c r="L8" s="90" t="s">
        <v>87</v>
      </c>
      <c r="M8" s="88" t="s">
        <v>87</v>
      </c>
      <c r="N8" s="89" t="s">
        <v>87</v>
      </c>
      <c r="O8" s="88" t="s">
        <v>87</v>
      </c>
      <c r="P8" s="106">
        <f t="shared" si="0"/>
        <v>500</v>
      </c>
      <c r="Q8" s="90">
        <v>0</v>
      </c>
      <c r="R8" s="90" t="s">
        <v>87</v>
      </c>
      <c r="S8" s="93" t="s">
        <v>87</v>
      </c>
      <c r="T8" s="90" t="s">
        <v>87</v>
      </c>
      <c r="U8" s="90" t="s">
        <v>87</v>
      </c>
      <c r="V8" s="3"/>
      <c r="W8" s="88">
        <v>0</v>
      </c>
      <c r="X8" s="88">
        <v>500</v>
      </c>
    </row>
    <row r="9" ht="45" customHeight="1" spans="1:24">
      <c r="A9" s="3">
        <v>5</v>
      </c>
      <c r="B9" s="4" t="s">
        <v>21</v>
      </c>
      <c r="C9" s="88">
        <f>VLOOKUP(B9,'2加工'!$B$3:$U$47,2,0)</f>
        <v>23923.527369</v>
      </c>
      <c r="D9" s="89">
        <f>VLOOKUP(B9,'2加工'!$B$3:$U$48,3,0)</f>
        <v>75</v>
      </c>
      <c r="E9" s="88">
        <f>VLOOKUP(B9,'2加工'!$B$3:$U$48,4,0)</f>
        <v>118.52</v>
      </c>
      <c r="F9" s="90">
        <f>VLOOKUP(B9,'2加工'!$B$3:$U$48,5,0)</f>
        <v>118.52</v>
      </c>
      <c r="G9" s="90">
        <f t="shared" ref="G9:G17" si="1">E9-F9</f>
        <v>0</v>
      </c>
      <c r="H9" s="88">
        <f>VLOOKUP(B9,'2加工'!$B$3:$U$48,7,0)</f>
        <v>19586</v>
      </c>
      <c r="I9" s="89">
        <f>VLOOKUP(B9,'2加工'!$B$3:$U$48,8,0)</f>
        <v>23</v>
      </c>
      <c r="J9" s="88">
        <f>VLOOKUP(B9,'2加工'!$B$3:$U$48,9,0)</f>
        <v>97.17</v>
      </c>
      <c r="K9" s="90">
        <f>VLOOKUP(B9,'2加工'!$B$3:$U$48,10,0)</f>
        <v>97.17</v>
      </c>
      <c r="L9" s="90">
        <f t="shared" ref="L9:L17" si="2">J9-K9</f>
        <v>0</v>
      </c>
      <c r="M9" s="88">
        <f>VLOOKUP(B9,'2加工'!$B$3:$U$48,12,0)</f>
        <v>28101.7</v>
      </c>
      <c r="N9" s="89">
        <f>VLOOKUP(B9,'2加工'!$B$3:$U$48,13,0)</f>
        <v>220</v>
      </c>
      <c r="O9" s="88">
        <f>VLOOKUP(B9,'2加工'!$B$3:$U$48,14,0)</f>
        <v>56.06</v>
      </c>
      <c r="P9" s="106">
        <f t="shared" si="0"/>
        <v>443.94</v>
      </c>
      <c r="Q9" s="90">
        <f>VLOOKUP(B9,'2加工'!$B$3:$U$48,16,0)</f>
        <v>56.06</v>
      </c>
      <c r="R9" s="90">
        <f t="shared" ref="R9:R17" si="3">+O9-Q9</f>
        <v>0</v>
      </c>
      <c r="S9" s="93">
        <f t="shared" ref="S9:S17" si="4">SUM(E9,J9,O9)</f>
        <v>271.75</v>
      </c>
      <c r="T9" s="90">
        <f t="shared" ref="T9:T17" si="5">SUM(F9,K9,Q9)</f>
        <v>271.75</v>
      </c>
      <c r="U9" s="90">
        <f t="shared" ref="U9:U17" si="6">SUM(G9,L9,R9)</f>
        <v>0</v>
      </c>
      <c r="V9" s="3"/>
      <c r="W9" s="88">
        <v>56.06</v>
      </c>
      <c r="X9" s="88">
        <v>443.94</v>
      </c>
    </row>
    <row r="10" ht="45" customHeight="1" spans="1:24">
      <c r="A10" s="3">
        <v>6</v>
      </c>
      <c r="B10" s="4" t="s">
        <v>22</v>
      </c>
      <c r="C10" s="88">
        <f>VLOOKUP(B10,'2加工'!$B$3:$U$47,2,0)</f>
        <v>3816</v>
      </c>
      <c r="D10" s="89">
        <f>VLOOKUP(B10,'2加工'!$B$3:$U$48,3,0)</f>
        <v>17</v>
      </c>
      <c r="E10" s="88">
        <f>VLOOKUP(B10,'2加工'!$B$3:$U$48,4,0)</f>
        <v>19.07</v>
      </c>
      <c r="F10" s="90">
        <f>VLOOKUP(B10,'2加工'!$B$3:$U$48,5,0)</f>
        <v>13.32</v>
      </c>
      <c r="G10" s="90">
        <f t="shared" si="1"/>
        <v>5.75</v>
      </c>
      <c r="H10" s="88">
        <f>VLOOKUP(B10,'2加工'!$B$3:$U$48,7,0)</f>
        <v>5350</v>
      </c>
      <c r="I10" s="89">
        <f>VLOOKUP(B10,'2加工'!$B$3:$U$48,8,0)</f>
        <v>5</v>
      </c>
      <c r="J10" s="88">
        <f>VLOOKUP(B10,'2加工'!$B$3:$U$48,9,0)</f>
        <v>23.21</v>
      </c>
      <c r="K10" s="90">
        <f>VLOOKUP(B10,'2加工'!$B$3:$U$48,10,0)</f>
        <v>20.47</v>
      </c>
      <c r="L10" s="90">
        <f t="shared" si="2"/>
        <v>2.74</v>
      </c>
      <c r="M10" s="88">
        <f>VLOOKUP(B10,'2加工'!$B$3:$U$48,12,0)</f>
        <v>0</v>
      </c>
      <c r="N10" s="89">
        <f>VLOOKUP(B10,'2加工'!$B$3:$U$48,13,0)</f>
        <v>0</v>
      </c>
      <c r="O10" s="88">
        <f>VLOOKUP(B10,'2加工'!$B$3:$U$48,14,0)</f>
        <v>0</v>
      </c>
      <c r="P10" s="106">
        <f t="shared" si="0"/>
        <v>500</v>
      </c>
      <c r="Q10" s="90">
        <f>VLOOKUP(B10,'2加工'!$B$3:$U$48,16,0)</f>
        <v>0</v>
      </c>
      <c r="R10" s="90">
        <f t="shared" si="3"/>
        <v>0</v>
      </c>
      <c r="S10" s="93">
        <f t="shared" si="4"/>
        <v>42.28</v>
      </c>
      <c r="T10" s="90">
        <f t="shared" si="5"/>
        <v>33.79</v>
      </c>
      <c r="U10" s="90">
        <f t="shared" si="6"/>
        <v>8.49</v>
      </c>
      <c r="V10" s="3"/>
      <c r="W10" s="88">
        <v>0</v>
      </c>
      <c r="X10" s="88">
        <v>500</v>
      </c>
    </row>
    <row r="11" ht="45" customHeight="1" spans="1:24">
      <c r="A11" s="3">
        <v>7</v>
      </c>
      <c r="B11" s="4" t="s">
        <v>23</v>
      </c>
      <c r="C11" s="88">
        <f>VLOOKUP(B11,'2加工'!$B$3:$U$47,2,0)</f>
        <v>6925</v>
      </c>
      <c r="D11" s="89">
        <f>VLOOKUP(B11,'2加工'!$B$3:$U$48,3,0)</f>
        <v>31</v>
      </c>
      <c r="E11" s="88">
        <f>VLOOKUP(B11,'2加工'!$B$3:$U$48,4,0)</f>
        <v>34.21</v>
      </c>
      <c r="F11" s="90">
        <f>VLOOKUP(B11,'2加工'!$B$3:$U$48,5,0)</f>
        <v>34.21</v>
      </c>
      <c r="G11" s="90">
        <f t="shared" si="1"/>
        <v>0</v>
      </c>
      <c r="H11" s="88">
        <f>VLOOKUP(B11,'2加工'!$B$3:$U$48,7,0)</f>
        <v>750</v>
      </c>
      <c r="I11" s="89">
        <f>VLOOKUP(B11,'2加工'!$B$3:$U$48,8,0)</f>
        <v>1</v>
      </c>
      <c r="J11" s="88">
        <f>VLOOKUP(B11,'2加工'!$B$3:$U$48,9,0)</f>
        <v>3.74</v>
      </c>
      <c r="K11" s="90">
        <f>VLOOKUP(B11,'2加工'!$B$3:$U$48,10,0)</f>
        <v>3.74</v>
      </c>
      <c r="L11" s="90">
        <f t="shared" si="2"/>
        <v>0</v>
      </c>
      <c r="M11" s="88">
        <f>VLOOKUP(B11,'2加工'!$B$3:$U$48,12,0)</f>
        <v>14518.8</v>
      </c>
      <c r="N11" s="89">
        <f>VLOOKUP(B11,'2加工'!$B$3:$U$48,13,0)</f>
        <v>125</v>
      </c>
      <c r="O11" s="88">
        <f>VLOOKUP(B11,'2加工'!$B$3:$U$48,14,0)</f>
        <v>28.98</v>
      </c>
      <c r="P11" s="106">
        <f t="shared" si="0"/>
        <v>471.02</v>
      </c>
      <c r="Q11" s="90">
        <f>VLOOKUP(B11,'2加工'!$B$3:$U$48,16,0)</f>
        <v>28.98</v>
      </c>
      <c r="R11" s="90">
        <f t="shared" si="3"/>
        <v>0</v>
      </c>
      <c r="S11" s="93">
        <f t="shared" si="4"/>
        <v>66.93</v>
      </c>
      <c r="T11" s="90">
        <f t="shared" si="5"/>
        <v>66.93</v>
      </c>
      <c r="U11" s="90">
        <f t="shared" si="6"/>
        <v>0</v>
      </c>
      <c r="V11" s="3"/>
      <c r="W11" s="88">
        <v>28.98</v>
      </c>
      <c r="X11" s="88">
        <v>471.02</v>
      </c>
    </row>
    <row r="12" ht="45" customHeight="1" spans="1:24">
      <c r="A12" s="3">
        <v>8</v>
      </c>
      <c r="B12" s="4" t="s">
        <v>24</v>
      </c>
      <c r="C12" s="88">
        <f>VLOOKUP(B12,'2加工'!$B$3:$U$47,2,0)</f>
        <v>19120</v>
      </c>
      <c r="D12" s="89">
        <f>VLOOKUP(B12,'2加工'!$B$3:$U$48,3,0)</f>
        <v>68</v>
      </c>
      <c r="E12" s="88">
        <f>VLOOKUP(B12,'2加工'!$B$3:$U$48,4,0)</f>
        <v>94.85</v>
      </c>
      <c r="F12" s="90">
        <f>VLOOKUP(B12,'2加工'!$B$3:$U$48,5,0)</f>
        <v>94.85</v>
      </c>
      <c r="G12" s="90">
        <f t="shared" si="1"/>
        <v>0</v>
      </c>
      <c r="H12" s="88">
        <f>VLOOKUP(B12,'2加工'!$B$3:$U$48,7,0)</f>
        <v>16600</v>
      </c>
      <c r="I12" s="89">
        <f>VLOOKUP(B12,'2加工'!$B$3:$U$48,8,0)</f>
        <v>19</v>
      </c>
      <c r="J12" s="88">
        <f>VLOOKUP(B12,'2加工'!$B$3:$U$48,9,0)</f>
        <v>81.82</v>
      </c>
      <c r="K12" s="90">
        <f>VLOOKUP(B12,'2加工'!$B$3:$U$48,10,0)</f>
        <v>72.07</v>
      </c>
      <c r="L12" s="90">
        <f t="shared" si="2"/>
        <v>9.75</v>
      </c>
      <c r="M12" s="88">
        <f>VLOOKUP(B12,'2加工'!$B$3:$U$48,12,0)</f>
        <v>16951</v>
      </c>
      <c r="N12" s="89">
        <f>VLOOKUP(B12,'2加工'!$B$3:$U$48,13,0)</f>
        <v>112</v>
      </c>
      <c r="O12" s="88">
        <f>VLOOKUP(B12,'2加工'!$B$3:$U$48,14,0)</f>
        <v>33.91</v>
      </c>
      <c r="P12" s="106">
        <f t="shared" si="0"/>
        <v>466.09</v>
      </c>
      <c r="Q12" s="90">
        <f>VLOOKUP(B12,'2加工'!$B$3:$U$48,16,0)</f>
        <v>33.91</v>
      </c>
      <c r="R12" s="90">
        <f t="shared" si="3"/>
        <v>0</v>
      </c>
      <c r="S12" s="93">
        <f t="shared" si="4"/>
        <v>210.58</v>
      </c>
      <c r="T12" s="90">
        <f t="shared" si="5"/>
        <v>200.83</v>
      </c>
      <c r="U12" s="90">
        <f t="shared" si="6"/>
        <v>9.75</v>
      </c>
      <c r="V12" s="3"/>
      <c r="W12" s="88">
        <v>33.91</v>
      </c>
      <c r="X12" s="88">
        <v>466.09</v>
      </c>
    </row>
    <row r="13" ht="45" customHeight="1" spans="1:24">
      <c r="A13" s="3">
        <v>9</v>
      </c>
      <c r="B13" s="4" t="s">
        <v>25</v>
      </c>
      <c r="C13" s="88">
        <f>VLOOKUP(B13,'2加工'!$B$3:$U$47,2,0)</f>
        <v>13345</v>
      </c>
      <c r="D13" s="89">
        <f>VLOOKUP(B13,'2加工'!$B$3:$U$48,3,0)</f>
        <v>114</v>
      </c>
      <c r="E13" s="88">
        <f>VLOOKUP(B13,'2加工'!$B$3:$U$48,4,0)</f>
        <v>63.56</v>
      </c>
      <c r="F13" s="90">
        <f>VLOOKUP(B13,'2加工'!$B$3:$U$48,5,0)</f>
        <v>61.06</v>
      </c>
      <c r="G13" s="90">
        <f t="shared" si="1"/>
        <v>2.5</v>
      </c>
      <c r="H13" s="88">
        <f>VLOOKUP(B13,'2加工'!$B$3:$U$48,7,0)</f>
        <v>5850</v>
      </c>
      <c r="I13" s="89">
        <f>VLOOKUP(B13,'2加工'!$B$3:$U$48,8,0)</f>
        <v>7</v>
      </c>
      <c r="J13" s="88">
        <f>VLOOKUP(B13,'2加工'!$B$3:$U$48,9,0)</f>
        <v>25.79</v>
      </c>
      <c r="K13" s="90">
        <f>VLOOKUP(B13,'2加工'!$B$3:$U$48,10,0)</f>
        <v>25.79</v>
      </c>
      <c r="L13" s="90">
        <f t="shared" si="2"/>
        <v>0</v>
      </c>
      <c r="M13" s="88">
        <f>VLOOKUP(B13,'2加工'!$B$3:$U$48,12,0)</f>
        <v>34641.1</v>
      </c>
      <c r="N13" s="89">
        <f>VLOOKUP(B13,'2加工'!$B$3:$U$48,13,0)</f>
        <v>410</v>
      </c>
      <c r="O13" s="88">
        <f>VLOOKUP(B13,'2加工'!$B$3:$U$48,14,0)</f>
        <v>69.28</v>
      </c>
      <c r="P13" s="106">
        <f t="shared" si="0"/>
        <v>430.72</v>
      </c>
      <c r="Q13" s="90">
        <f>VLOOKUP(B13,'2加工'!$B$3:$U$48,16,0)</f>
        <v>69.28</v>
      </c>
      <c r="R13" s="90">
        <f t="shared" si="3"/>
        <v>0</v>
      </c>
      <c r="S13" s="93">
        <f t="shared" si="4"/>
        <v>158.63</v>
      </c>
      <c r="T13" s="90">
        <f t="shared" si="5"/>
        <v>156.13</v>
      </c>
      <c r="U13" s="90">
        <f t="shared" si="6"/>
        <v>2.5</v>
      </c>
      <c r="V13" s="3"/>
      <c r="W13" s="88">
        <v>69.28</v>
      </c>
      <c r="X13" s="88">
        <v>430.72</v>
      </c>
    </row>
    <row r="14" ht="45" customHeight="1" spans="1:24">
      <c r="A14" s="3">
        <v>10</v>
      </c>
      <c r="B14" s="4" t="s">
        <v>26</v>
      </c>
      <c r="C14" s="88">
        <f>VLOOKUP(B14,'2加工'!$B$3:$U$47,2,0)</f>
        <v>53094</v>
      </c>
      <c r="D14" s="89">
        <f>VLOOKUP(B14,'2加工'!$B$3:$U$48,3,0)</f>
        <v>133</v>
      </c>
      <c r="E14" s="88">
        <f>VLOOKUP(B14,'2加工'!$B$3:$U$48,4,0)</f>
        <v>261.03</v>
      </c>
      <c r="F14" s="90">
        <f>VLOOKUP(B14,'2加工'!$B$3:$U$48,5,0)</f>
        <v>258.53</v>
      </c>
      <c r="G14" s="90">
        <f t="shared" si="1"/>
        <v>2.5</v>
      </c>
      <c r="H14" s="88">
        <f>VLOOKUP(B14,'2加工'!$B$3:$U$48,7,0)</f>
        <v>10680</v>
      </c>
      <c r="I14" s="89">
        <f>VLOOKUP(B14,'2加工'!$B$3:$U$48,8,0)</f>
        <v>13</v>
      </c>
      <c r="J14" s="88">
        <f>VLOOKUP(B14,'2加工'!$B$3:$U$48,9,0)</f>
        <v>53.27</v>
      </c>
      <c r="K14" s="90">
        <f>VLOOKUP(B14,'2加工'!$B$3:$U$48,10,0)</f>
        <v>49.27</v>
      </c>
      <c r="L14" s="90">
        <f t="shared" si="2"/>
        <v>4</v>
      </c>
      <c r="M14" s="88">
        <f>VLOOKUP(B14,'2加工'!$B$3:$U$48,12,0)</f>
        <v>38445.4</v>
      </c>
      <c r="N14" s="89">
        <f>VLOOKUP(B14,'2加工'!$B$3:$U$48,13,0)</f>
        <v>238</v>
      </c>
      <c r="O14" s="88">
        <f>VLOOKUP(B14,'2加工'!$B$3:$U$48,14,0)</f>
        <v>76.89</v>
      </c>
      <c r="P14" s="106">
        <f t="shared" si="0"/>
        <v>423.24</v>
      </c>
      <c r="Q14" s="90">
        <f>VLOOKUP(B14,'2加工'!$B$3:$U$48,16,0)</f>
        <v>76.76</v>
      </c>
      <c r="R14" s="90">
        <f t="shared" si="3"/>
        <v>0.129999999999995</v>
      </c>
      <c r="S14" s="93">
        <f t="shared" si="4"/>
        <v>391.19</v>
      </c>
      <c r="T14" s="90">
        <f t="shared" si="5"/>
        <v>384.56</v>
      </c>
      <c r="U14" s="90">
        <f t="shared" si="6"/>
        <v>6.63</v>
      </c>
      <c r="V14" s="3"/>
      <c r="W14" s="88">
        <v>76.76</v>
      </c>
      <c r="X14" s="88">
        <v>423.24</v>
      </c>
    </row>
    <row r="15" ht="45" customHeight="1" spans="1:24">
      <c r="A15" s="3">
        <v>11</v>
      </c>
      <c r="B15" s="4" t="s">
        <v>27</v>
      </c>
      <c r="C15" s="88">
        <f>VLOOKUP(B15,'2加工'!$B$3:$U$47,2,0)</f>
        <v>16289</v>
      </c>
      <c r="D15" s="89">
        <f>VLOOKUP(B15,'2加工'!$B$3:$U$48,3,0)</f>
        <v>70</v>
      </c>
      <c r="E15" s="88">
        <f>VLOOKUP(B15,'2加工'!$B$3:$U$48,4,0)</f>
        <v>81.46</v>
      </c>
      <c r="F15" s="90">
        <f>VLOOKUP(B15,'2加工'!$B$3:$U$48,5,0)</f>
        <v>62.13</v>
      </c>
      <c r="G15" s="90">
        <f t="shared" si="1"/>
        <v>19.33</v>
      </c>
      <c r="H15" s="88">
        <f>VLOOKUP(B15,'2加工'!$B$3:$U$48,7,0)</f>
        <v>5400</v>
      </c>
      <c r="I15" s="89">
        <f>VLOOKUP(B15,'2加工'!$B$3:$U$48,8,0)</f>
        <v>6</v>
      </c>
      <c r="J15" s="88">
        <f>VLOOKUP(B15,'2加工'!$B$3:$U$48,9,0)</f>
        <v>26</v>
      </c>
      <c r="K15" s="90">
        <f>VLOOKUP(B15,'2加工'!$B$3:$U$48,10,0)</f>
        <v>15.66</v>
      </c>
      <c r="L15" s="90">
        <f t="shared" si="2"/>
        <v>10.34</v>
      </c>
      <c r="M15" s="88">
        <f>VLOOKUP(B15,'2加工'!$B$3:$U$48,12,0)</f>
        <v>42952.6</v>
      </c>
      <c r="N15" s="89">
        <f>VLOOKUP(B15,'2加工'!$B$3:$U$48,13,0)</f>
        <v>478</v>
      </c>
      <c r="O15" s="88">
        <f>VLOOKUP(B15,'2加工'!$B$3:$U$48,14,0)</f>
        <v>85.87</v>
      </c>
      <c r="P15" s="106">
        <f t="shared" si="0"/>
        <v>414.19</v>
      </c>
      <c r="Q15" s="90">
        <f>VLOOKUP(B15,'2加工'!$B$3:$U$48,16,0)</f>
        <v>85.8100000000001</v>
      </c>
      <c r="R15" s="90">
        <f t="shared" si="3"/>
        <v>0.0599999999999028</v>
      </c>
      <c r="S15" s="93">
        <f t="shared" si="4"/>
        <v>193.33</v>
      </c>
      <c r="T15" s="90">
        <f t="shared" si="5"/>
        <v>163.6</v>
      </c>
      <c r="U15" s="90">
        <f t="shared" si="6"/>
        <v>29.7299999999999</v>
      </c>
      <c r="V15" s="3"/>
      <c r="W15" s="88">
        <v>85.8100000000001</v>
      </c>
      <c r="X15" s="88">
        <v>414.19</v>
      </c>
    </row>
    <row r="16" ht="45" customHeight="1" spans="1:24">
      <c r="A16" s="3">
        <v>12</v>
      </c>
      <c r="B16" s="4" t="s">
        <v>28</v>
      </c>
      <c r="C16" s="88">
        <f>VLOOKUP(B16,'2加工'!$B$3:$U$47,2,0)</f>
        <v>6155</v>
      </c>
      <c r="D16" s="89">
        <f>VLOOKUP(B16,'2加工'!$B$3:$U$48,3,0)</f>
        <v>28</v>
      </c>
      <c r="E16" s="88">
        <f>VLOOKUP(B16,'2加工'!$B$3:$U$48,4,0)</f>
        <v>29.7</v>
      </c>
      <c r="F16" s="90">
        <f>VLOOKUP(B16,'2加工'!$B$3:$U$48,5,0)</f>
        <v>25.84</v>
      </c>
      <c r="G16" s="90">
        <f t="shared" si="1"/>
        <v>3.86</v>
      </c>
      <c r="H16" s="88">
        <f>VLOOKUP(B16,'2加工'!$B$3:$U$48,7,0)</f>
        <v>5730</v>
      </c>
      <c r="I16" s="89">
        <f>VLOOKUP(B16,'2加工'!$B$3:$U$48,8,0)</f>
        <v>7</v>
      </c>
      <c r="J16" s="88">
        <f>VLOOKUP(B16,'2加工'!$B$3:$U$48,9,0)</f>
        <v>22.71</v>
      </c>
      <c r="K16" s="90">
        <f>VLOOKUP(B16,'2加工'!$B$3:$U$48,10,0)</f>
        <v>12.06</v>
      </c>
      <c r="L16" s="90">
        <f t="shared" si="2"/>
        <v>10.65</v>
      </c>
      <c r="M16" s="88">
        <f>VLOOKUP(B16,'2加工'!$B$3:$U$48,12,0)</f>
        <v>0</v>
      </c>
      <c r="N16" s="89">
        <f>VLOOKUP(B16,'2加工'!$B$3:$U$48,13,0)</f>
        <v>0</v>
      </c>
      <c r="O16" s="88">
        <f>VLOOKUP(B16,'2加工'!$B$3:$U$48,14,0)</f>
        <v>0</v>
      </c>
      <c r="P16" s="106">
        <f t="shared" si="0"/>
        <v>500</v>
      </c>
      <c r="Q16" s="90">
        <f>VLOOKUP(B16,'2加工'!$B$3:$U$48,16,0)</f>
        <v>0</v>
      </c>
      <c r="R16" s="90">
        <f t="shared" si="3"/>
        <v>0</v>
      </c>
      <c r="S16" s="93">
        <f t="shared" si="4"/>
        <v>52.41</v>
      </c>
      <c r="T16" s="90">
        <f t="shared" si="5"/>
        <v>37.9</v>
      </c>
      <c r="U16" s="90">
        <f t="shared" si="6"/>
        <v>14.51</v>
      </c>
      <c r="V16" s="3"/>
      <c r="W16" s="88">
        <v>0</v>
      </c>
      <c r="X16" s="88">
        <v>500</v>
      </c>
    </row>
    <row r="17" ht="45" customHeight="1" spans="1:24">
      <c r="A17" s="3">
        <v>13</v>
      </c>
      <c r="B17" s="4" t="s">
        <v>29</v>
      </c>
      <c r="C17" s="88">
        <f>VLOOKUP(B17,'2加工'!$B$3:$U$47,2,0)</f>
        <v>21790</v>
      </c>
      <c r="D17" s="89">
        <f>VLOOKUP(B17,'2加工'!$B$3:$U$48,3,0)</f>
        <v>119</v>
      </c>
      <c r="E17" s="88">
        <f>VLOOKUP(B17,'2加工'!$B$3:$U$48,4,0)</f>
        <v>108.97</v>
      </c>
      <c r="F17" s="90">
        <f>VLOOKUP(B17,'2加工'!$B$3:$U$48,5,0)</f>
        <v>106.75</v>
      </c>
      <c r="G17" s="90">
        <f t="shared" si="1"/>
        <v>2.22</v>
      </c>
      <c r="H17" s="88">
        <f>VLOOKUP(B17,'2加工'!$B$3:$U$48,7,0)</f>
        <v>4000</v>
      </c>
      <c r="I17" s="89">
        <f>VLOOKUP(B17,'2加工'!$B$3:$U$48,8,0)</f>
        <v>5</v>
      </c>
      <c r="J17" s="88">
        <f>VLOOKUP(B17,'2加工'!$B$3:$U$48,9,0)</f>
        <v>19.98</v>
      </c>
      <c r="K17" s="90">
        <f>VLOOKUP(B17,'2加工'!$B$3:$U$48,10,0)</f>
        <v>14.98</v>
      </c>
      <c r="L17" s="90">
        <f t="shared" si="2"/>
        <v>5</v>
      </c>
      <c r="M17" s="88">
        <f>VLOOKUP(B17,'2加工'!$B$3:$U$48,12,0)</f>
        <v>29076.5</v>
      </c>
      <c r="N17" s="89">
        <f>VLOOKUP(B17,'2加工'!$B$3:$U$48,13,0)</f>
        <v>378</v>
      </c>
      <c r="O17" s="88">
        <f>VLOOKUP(B17,'2加工'!$B$3:$U$48,14,0)</f>
        <v>58.11</v>
      </c>
      <c r="P17" s="106">
        <f t="shared" si="0"/>
        <v>441.89</v>
      </c>
      <c r="Q17" s="90">
        <f>VLOOKUP(B17,'2加工'!$B$3:$U$48,16,0)</f>
        <v>58.11</v>
      </c>
      <c r="R17" s="90">
        <f t="shared" si="3"/>
        <v>0</v>
      </c>
      <c r="S17" s="93">
        <f t="shared" si="4"/>
        <v>187.06</v>
      </c>
      <c r="T17" s="90">
        <f t="shared" si="5"/>
        <v>179.84</v>
      </c>
      <c r="U17" s="90">
        <f t="shared" si="6"/>
        <v>7.22</v>
      </c>
      <c r="V17" s="3"/>
      <c r="W17" s="88">
        <v>58.11</v>
      </c>
      <c r="X17" s="88">
        <v>441.89</v>
      </c>
    </row>
    <row r="18" ht="45" customHeight="1" spans="1:24">
      <c r="A18" s="3">
        <v>14</v>
      </c>
      <c r="B18" s="4" t="s">
        <v>30</v>
      </c>
      <c r="C18" s="88" t="s">
        <v>87</v>
      </c>
      <c r="D18" s="89" t="s">
        <v>87</v>
      </c>
      <c r="E18" s="88" t="s">
        <v>87</v>
      </c>
      <c r="F18" s="90" t="s">
        <v>87</v>
      </c>
      <c r="G18" s="90" t="s">
        <v>87</v>
      </c>
      <c r="H18" s="88" t="s">
        <v>87</v>
      </c>
      <c r="I18" s="89" t="s">
        <v>87</v>
      </c>
      <c r="J18" s="88" t="s">
        <v>87</v>
      </c>
      <c r="K18" s="90" t="s">
        <v>87</v>
      </c>
      <c r="L18" s="90" t="s">
        <v>87</v>
      </c>
      <c r="M18" s="88" t="s">
        <v>87</v>
      </c>
      <c r="N18" s="89" t="s">
        <v>87</v>
      </c>
      <c r="O18" s="88" t="s">
        <v>87</v>
      </c>
      <c r="P18" s="106">
        <f t="shared" si="0"/>
        <v>500</v>
      </c>
      <c r="Q18" s="90">
        <v>0</v>
      </c>
      <c r="R18" s="90" t="s">
        <v>87</v>
      </c>
      <c r="S18" s="93" t="s">
        <v>87</v>
      </c>
      <c r="T18" s="90" t="s">
        <v>87</v>
      </c>
      <c r="U18" s="90" t="s">
        <v>87</v>
      </c>
      <c r="V18" s="3"/>
      <c r="W18" s="88">
        <v>0</v>
      </c>
      <c r="X18" s="88">
        <v>500</v>
      </c>
    </row>
    <row r="19" ht="45" customHeight="1" spans="1:24">
      <c r="A19" s="3">
        <v>15</v>
      </c>
      <c r="B19" s="4" t="s">
        <v>31</v>
      </c>
      <c r="C19" s="88">
        <f>VLOOKUP(B19,'2加工'!$B$3:$U$47,2,0)</f>
        <v>400</v>
      </c>
      <c r="D19" s="89">
        <f>VLOOKUP(B19,'2加工'!$B$3:$U$48,3,0)</f>
        <v>1</v>
      </c>
      <c r="E19" s="88">
        <f>VLOOKUP(B19,'2加工'!$B$3:$U$48,4,0)</f>
        <v>1.99</v>
      </c>
      <c r="F19" s="90">
        <f>VLOOKUP(B19,'2加工'!$B$3:$U$48,5,0)</f>
        <v>1.99</v>
      </c>
      <c r="G19" s="90">
        <f t="shared" ref="G19:G25" si="7">E19-F19</f>
        <v>0</v>
      </c>
      <c r="H19" s="88">
        <f>VLOOKUP(B19,'2加工'!$B$3:$U$48,7,0)</f>
        <v>7020</v>
      </c>
      <c r="I19" s="89">
        <f>VLOOKUP(B19,'2加工'!$B$3:$U$48,8,0)</f>
        <v>8</v>
      </c>
      <c r="J19" s="88">
        <f>VLOOKUP(B19,'2加工'!$B$3:$U$48,9,0)</f>
        <v>35.04</v>
      </c>
      <c r="K19" s="90">
        <f>VLOOKUP(B19,'2加工'!$B$3:$U$48,10,0)</f>
        <v>35.04</v>
      </c>
      <c r="L19" s="90">
        <f t="shared" ref="L19:L25" si="8">J19-K19</f>
        <v>0</v>
      </c>
      <c r="M19" s="88">
        <f>VLOOKUP(B19,'2加工'!$B$3:$U$48,12,0)</f>
        <v>0</v>
      </c>
      <c r="N19" s="89">
        <f>VLOOKUP(B19,'2加工'!$B$3:$U$48,13,0)</f>
        <v>0</v>
      </c>
      <c r="O19" s="88">
        <f>VLOOKUP(B19,'2加工'!$B$3:$U$48,14,0)</f>
        <v>0</v>
      </c>
      <c r="P19" s="106">
        <f t="shared" si="0"/>
        <v>500</v>
      </c>
      <c r="Q19" s="90">
        <f>VLOOKUP(B19,'2加工'!$B$3:$U$48,16,0)</f>
        <v>0</v>
      </c>
      <c r="R19" s="90">
        <f t="shared" ref="R19:R25" si="9">+O19-Q19</f>
        <v>0</v>
      </c>
      <c r="S19" s="93">
        <f t="shared" ref="S19:S25" si="10">SUM(E19,J19,O19)</f>
        <v>37.03</v>
      </c>
      <c r="T19" s="90">
        <f t="shared" ref="T19:T25" si="11">SUM(F19,K19,Q19)</f>
        <v>37.03</v>
      </c>
      <c r="U19" s="90">
        <f t="shared" ref="U19:U25" si="12">SUM(G19,L19,R19)</f>
        <v>0</v>
      </c>
      <c r="V19" s="3"/>
      <c r="W19" s="88">
        <v>0</v>
      </c>
      <c r="X19" s="88">
        <v>500</v>
      </c>
    </row>
    <row r="20" ht="45" customHeight="1" spans="1:24">
      <c r="A20" s="3">
        <v>16</v>
      </c>
      <c r="B20" s="4" t="s">
        <v>32</v>
      </c>
      <c r="C20" s="88">
        <f>VLOOKUP(B20,'2加工'!$B$3:$U$47,2,0)</f>
        <v>23268</v>
      </c>
      <c r="D20" s="89">
        <f>VLOOKUP(B20,'2加工'!$B$3:$U$48,3,0)</f>
        <v>80</v>
      </c>
      <c r="E20" s="88">
        <f>VLOOKUP(B20,'2加工'!$B$3:$U$48,4,0)</f>
        <v>116.02</v>
      </c>
      <c r="F20" s="90">
        <f>VLOOKUP(B20,'2加工'!$B$3:$U$48,5,0)</f>
        <v>114.95</v>
      </c>
      <c r="G20" s="90">
        <f t="shared" si="7"/>
        <v>1.06999999999999</v>
      </c>
      <c r="H20" s="88">
        <f>VLOOKUP(B20,'2加工'!$B$3:$U$48,7,0)</f>
        <v>0</v>
      </c>
      <c r="I20" s="89">
        <f>VLOOKUP(B20,'2加工'!$B$3:$U$48,8,0)</f>
        <v>0</v>
      </c>
      <c r="J20" s="88">
        <f>VLOOKUP(B20,'2加工'!$B$3:$U$48,9,0)</f>
        <v>0</v>
      </c>
      <c r="K20" s="90">
        <f>VLOOKUP(B20,'2加工'!$B$3:$U$48,10,0)</f>
        <v>0</v>
      </c>
      <c r="L20" s="90">
        <f t="shared" si="8"/>
        <v>0</v>
      </c>
      <c r="M20" s="88">
        <f>VLOOKUP(B20,'2加工'!$B$3:$U$48,12,0)</f>
        <v>1877.8</v>
      </c>
      <c r="N20" s="89">
        <f>VLOOKUP(B20,'2加工'!$B$3:$U$48,13,0)</f>
        <v>6</v>
      </c>
      <c r="O20" s="88">
        <f>VLOOKUP(B20,'2加工'!$B$3:$U$48,14,0)</f>
        <v>3.75</v>
      </c>
      <c r="P20" s="106">
        <f t="shared" si="0"/>
        <v>496.25</v>
      </c>
      <c r="Q20" s="90">
        <f>VLOOKUP(B20,'2加工'!$B$3:$U$48,16,0)</f>
        <v>3.75</v>
      </c>
      <c r="R20" s="90">
        <f t="shared" si="9"/>
        <v>0</v>
      </c>
      <c r="S20" s="93">
        <f t="shared" si="10"/>
        <v>119.77</v>
      </c>
      <c r="T20" s="90">
        <f t="shared" si="11"/>
        <v>118.7</v>
      </c>
      <c r="U20" s="90">
        <f t="shared" si="12"/>
        <v>1.06999999999999</v>
      </c>
      <c r="V20" s="3"/>
      <c r="W20" s="88">
        <v>3.75</v>
      </c>
      <c r="X20" s="88">
        <v>496.25</v>
      </c>
    </row>
    <row r="21" ht="45" customHeight="1" spans="1:24">
      <c r="A21" s="3">
        <v>17</v>
      </c>
      <c r="B21" s="4" t="s">
        <v>33</v>
      </c>
      <c r="C21" s="88">
        <f>VLOOKUP(B21,'2加工'!$B$3:$U$47,2,0)</f>
        <v>3973</v>
      </c>
      <c r="D21" s="89">
        <f>VLOOKUP(B21,'2加工'!$B$3:$U$48,3,0)</f>
        <v>17</v>
      </c>
      <c r="E21" s="88">
        <f>VLOOKUP(B21,'2加工'!$B$3:$U$48,4,0)</f>
        <v>19.59</v>
      </c>
      <c r="F21" s="90">
        <f>VLOOKUP(B21,'2加工'!$B$3:$U$48,5,0)</f>
        <v>19.59</v>
      </c>
      <c r="G21" s="90">
        <f t="shared" si="7"/>
        <v>0</v>
      </c>
      <c r="H21" s="88">
        <f>VLOOKUP(B21,'2加工'!$B$3:$U$48,7,0)</f>
        <v>0</v>
      </c>
      <c r="I21" s="89">
        <f>VLOOKUP(B21,'2加工'!$B$3:$U$48,8,0)</f>
        <v>0</v>
      </c>
      <c r="J21" s="88">
        <f>VLOOKUP(B21,'2加工'!$B$3:$U$48,9,0)</f>
        <v>0</v>
      </c>
      <c r="K21" s="90">
        <f>VLOOKUP(B21,'2加工'!$B$3:$U$48,10,0)</f>
        <v>0</v>
      </c>
      <c r="L21" s="90">
        <f t="shared" si="8"/>
        <v>0</v>
      </c>
      <c r="M21" s="88">
        <f>VLOOKUP(B21,'2加工'!$B$3:$U$48,12,0)</f>
        <v>0</v>
      </c>
      <c r="N21" s="89">
        <f>VLOOKUP(B21,'2加工'!$B$3:$U$48,13,0)</f>
        <v>0</v>
      </c>
      <c r="O21" s="88">
        <f>VLOOKUP(B21,'2加工'!$B$3:$U$48,14,0)</f>
        <v>0</v>
      </c>
      <c r="P21" s="106">
        <f t="shared" si="0"/>
        <v>500</v>
      </c>
      <c r="Q21" s="90">
        <f>VLOOKUP(B21,'2加工'!$B$3:$U$48,16,0)</f>
        <v>0</v>
      </c>
      <c r="R21" s="90">
        <f t="shared" si="9"/>
        <v>0</v>
      </c>
      <c r="S21" s="93">
        <f t="shared" si="10"/>
        <v>19.59</v>
      </c>
      <c r="T21" s="90">
        <f t="shared" si="11"/>
        <v>19.59</v>
      </c>
      <c r="U21" s="90">
        <f t="shared" si="12"/>
        <v>0</v>
      </c>
      <c r="V21" s="3"/>
      <c r="W21" s="88">
        <v>0</v>
      </c>
      <c r="X21" s="88">
        <v>500</v>
      </c>
    </row>
    <row r="22" ht="45" customHeight="1" spans="1:24">
      <c r="A22" s="3">
        <v>18</v>
      </c>
      <c r="B22" s="4" t="s">
        <v>34</v>
      </c>
      <c r="C22" s="88">
        <f>VLOOKUP(B22,'2加工'!$B$3:$U$47,2,0)</f>
        <v>10488</v>
      </c>
      <c r="D22" s="89">
        <f>VLOOKUP(B22,'2加工'!$B$3:$U$48,3,0)</f>
        <v>36</v>
      </c>
      <c r="E22" s="88">
        <f>VLOOKUP(B22,'2加工'!$B$3:$U$48,4,0)</f>
        <v>50.95</v>
      </c>
      <c r="F22" s="90">
        <f>VLOOKUP(B22,'2加工'!$B$3:$U$48,5,0)</f>
        <v>50.95</v>
      </c>
      <c r="G22" s="90">
        <f t="shared" si="7"/>
        <v>0</v>
      </c>
      <c r="H22" s="88">
        <f>VLOOKUP(B22,'2加工'!$B$3:$U$48,7,0)</f>
        <v>7083</v>
      </c>
      <c r="I22" s="89">
        <f>VLOOKUP(B22,'2加工'!$B$3:$U$48,8,0)</f>
        <v>8</v>
      </c>
      <c r="J22" s="88">
        <f>VLOOKUP(B22,'2加工'!$B$3:$U$48,9,0)</f>
        <v>35.02</v>
      </c>
      <c r="K22" s="90">
        <f>VLOOKUP(B22,'2加工'!$B$3:$U$48,10,0)</f>
        <v>23.03</v>
      </c>
      <c r="L22" s="90">
        <f t="shared" si="8"/>
        <v>11.99</v>
      </c>
      <c r="M22" s="88">
        <f>VLOOKUP(B22,'2加工'!$B$3:$U$48,12,0)</f>
        <v>0</v>
      </c>
      <c r="N22" s="89">
        <f>VLOOKUP(B22,'2加工'!$B$3:$U$48,13,0)</f>
        <v>0</v>
      </c>
      <c r="O22" s="88">
        <f>VLOOKUP(B22,'2加工'!$B$3:$U$48,14,0)</f>
        <v>0</v>
      </c>
      <c r="P22" s="106">
        <f t="shared" si="0"/>
        <v>500</v>
      </c>
      <c r="Q22" s="90">
        <f>VLOOKUP(B22,'2加工'!$B$3:$U$48,16,0)</f>
        <v>0</v>
      </c>
      <c r="R22" s="90">
        <f t="shared" si="9"/>
        <v>0</v>
      </c>
      <c r="S22" s="93">
        <f t="shared" si="10"/>
        <v>85.97</v>
      </c>
      <c r="T22" s="90">
        <f t="shared" si="11"/>
        <v>73.98</v>
      </c>
      <c r="U22" s="90">
        <f t="shared" si="12"/>
        <v>11.99</v>
      </c>
      <c r="V22" s="3"/>
      <c r="W22" s="88">
        <v>0</v>
      </c>
      <c r="X22" s="88">
        <v>500</v>
      </c>
    </row>
    <row r="23" ht="45" customHeight="1" spans="1:24">
      <c r="A23" s="3">
        <v>19</v>
      </c>
      <c r="B23" s="4" t="s">
        <v>35</v>
      </c>
      <c r="C23" s="88">
        <f>VLOOKUP(B23,'2加工'!$B$3:$U$47,2,0)</f>
        <v>740</v>
      </c>
      <c r="D23" s="89">
        <f>VLOOKUP(B23,'2加工'!$B$3:$U$48,3,0)</f>
        <v>4</v>
      </c>
      <c r="E23" s="88">
        <f>VLOOKUP(B23,'2加工'!$B$3:$U$48,4,0)</f>
        <v>3.47</v>
      </c>
      <c r="F23" s="90">
        <f>VLOOKUP(B23,'2加工'!$B$3:$U$48,5,0)</f>
        <v>3.47</v>
      </c>
      <c r="G23" s="90">
        <f t="shared" si="7"/>
        <v>0</v>
      </c>
      <c r="H23" s="88">
        <f>VLOOKUP(B23,'2加工'!$B$3:$U$48,7,0)</f>
        <v>0</v>
      </c>
      <c r="I23" s="89">
        <f>VLOOKUP(B23,'2加工'!$B$3:$U$48,8,0)</f>
        <v>0</v>
      </c>
      <c r="J23" s="88">
        <f>VLOOKUP(B23,'2加工'!$B$3:$U$48,9,0)</f>
        <v>0</v>
      </c>
      <c r="K23" s="90">
        <f>VLOOKUP(B23,'2加工'!$B$3:$U$48,10,0)</f>
        <v>0</v>
      </c>
      <c r="L23" s="90">
        <f t="shared" si="8"/>
        <v>0</v>
      </c>
      <c r="M23" s="88">
        <f>VLOOKUP(B23,'2加工'!$B$3:$U$48,12,0)</f>
        <v>0</v>
      </c>
      <c r="N23" s="89">
        <f>VLOOKUP(B23,'2加工'!$B$3:$U$48,13,0)</f>
        <v>0</v>
      </c>
      <c r="O23" s="88">
        <f>VLOOKUP(B23,'2加工'!$B$3:$U$48,14,0)</f>
        <v>0</v>
      </c>
      <c r="P23" s="106">
        <f t="shared" si="0"/>
        <v>500</v>
      </c>
      <c r="Q23" s="90">
        <f>VLOOKUP(B23,'2加工'!$B$3:$U$48,16,0)</f>
        <v>0</v>
      </c>
      <c r="R23" s="90">
        <f t="shared" si="9"/>
        <v>0</v>
      </c>
      <c r="S23" s="93">
        <f t="shared" si="10"/>
        <v>3.47</v>
      </c>
      <c r="T23" s="90">
        <f t="shared" si="11"/>
        <v>3.47</v>
      </c>
      <c r="U23" s="90">
        <f t="shared" si="12"/>
        <v>0</v>
      </c>
      <c r="V23" s="3"/>
      <c r="W23" s="88">
        <v>0</v>
      </c>
      <c r="X23" s="88">
        <v>500</v>
      </c>
    </row>
    <row r="24" ht="45" customHeight="1" spans="1:24">
      <c r="A24" s="3">
        <v>20</v>
      </c>
      <c r="B24" s="4" t="s">
        <v>36</v>
      </c>
      <c r="C24" s="88">
        <f>VLOOKUP(B24,'2加工'!$B$3:$U$47,2,0)</f>
        <v>14825</v>
      </c>
      <c r="D24" s="89">
        <f>VLOOKUP(B24,'2加工'!$B$3:$U$48,3,0)</f>
        <v>54</v>
      </c>
      <c r="E24" s="88">
        <f>VLOOKUP(B24,'2加工'!$B$3:$U$48,4,0)</f>
        <v>70.24</v>
      </c>
      <c r="F24" s="90">
        <f>VLOOKUP(B24,'2加工'!$B$3:$U$48,5,0)</f>
        <v>70.24</v>
      </c>
      <c r="G24" s="90">
        <f t="shared" si="7"/>
        <v>0</v>
      </c>
      <c r="H24" s="88">
        <f>VLOOKUP(B24,'2加工'!$B$3:$U$48,7,0)</f>
        <v>3930</v>
      </c>
      <c r="I24" s="89">
        <f>VLOOKUP(B24,'2加工'!$B$3:$U$48,8,0)</f>
        <v>5</v>
      </c>
      <c r="J24" s="88">
        <f>VLOOKUP(B24,'2加工'!$B$3:$U$48,9,0)</f>
        <v>19.62</v>
      </c>
      <c r="K24" s="90">
        <f>VLOOKUP(B24,'2加工'!$B$3:$U$48,10,0)</f>
        <v>19.62</v>
      </c>
      <c r="L24" s="90">
        <f t="shared" si="8"/>
        <v>0</v>
      </c>
      <c r="M24" s="88">
        <f>VLOOKUP(B24,'2加工'!$B$3:$U$48,12,0)</f>
        <v>0</v>
      </c>
      <c r="N24" s="89">
        <f>VLOOKUP(B24,'2加工'!$B$3:$U$48,13,0)</f>
        <v>0</v>
      </c>
      <c r="O24" s="88">
        <f>VLOOKUP(B24,'2加工'!$B$3:$U$48,14,0)</f>
        <v>0</v>
      </c>
      <c r="P24" s="106">
        <f t="shared" si="0"/>
        <v>500</v>
      </c>
      <c r="Q24" s="90">
        <f>VLOOKUP(B24,'2加工'!$B$3:$U$48,16,0)</f>
        <v>0</v>
      </c>
      <c r="R24" s="90">
        <f t="shared" si="9"/>
        <v>0</v>
      </c>
      <c r="S24" s="93">
        <f t="shared" si="10"/>
        <v>89.86</v>
      </c>
      <c r="T24" s="90">
        <f t="shared" si="11"/>
        <v>89.86</v>
      </c>
      <c r="U24" s="90">
        <f t="shared" si="12"/>
        <v>0</v>
      </c>
      <c r="V24" s="3"/>
      <c r="W24" s="88">
        <v>0</v>
      </c>
      <c r="X24" s="88">
        <v>500</v>
      </c>
    </row>
    <row r="25" ht="45" customHeight="1" spans="1:27">
      <c r="A25" s="3">
        <v>21</v>
      </c>
      <c r="B25" s="4" t="s">
        <v>88</v>
      </c>
      <c r="C25" s="88">
        <f>VLOOKUP(B25,'2加工'!$B$3:$U$47,2,0)</f>
        <v>10380</v>
      </c>
      <c r="D25" s="89">
        <f>VLOOKUP(B25,'2加工'!$B$3:$U$48,3,0)</f>
        <v>33</v>
      </c>
      <c r="E25" s="88">
        <f>VLOOKUP(B25,'2加工'!$B$3:$U$48,4,0)</f>
        <v>51.67</v>
      </c>
      <c r="F25" s="90">
        <f>VLOOKUP(B25,'2加工'!$B$3:$U$48,5,0)</f>
        <v>51.67</v>
      </c>
      <c r="G25" s="90">
        <f t="shared" si="7"/>
        <v>0</v>
      </c>
      <c r="H25" s="88">
        <f>VLOOKUP(B25,'2加工'!$B$3:$U$48,7,0)</f>
        <v>3270</v>
      </c>
      <c r="I25" s="89">
        <f>VLOOKUP(B25,'2加工'!$B$3:$U$48,8,0)</f>
        <v>4</v>
      </c>
      <c r="J25" s="88">
        <f>VLOOKUP(B25,'2加工'!$B$3:$U$48,9,0)</f>
        <v>16.26</v>
      </c>
      <c r="K25" s="90">
        <f>VLOOKUP(B25,'2加工'!$B$3:$U$48,10,0)</f>
        <v>16.26</v>
      </c>
      <c r="L25" s="90">
        <f t="shared" si="8"/>
        <v>0</v>
      </c>
      <c r="M25" s="88">
        <f>VLOOKUP(B25,'2加工'!$B$3:$U$48,12,0)</f>
        <v>0</v>
      </c>
      <c r="N25" s="89">
        <f>VLOOKUP(B25,'2加工'!$B$3:$U$48,13,0)</f>
        <v>0</v>
      </c>
      <c r="O25" s="88">
        <f>VLOOKUP(B25,'2加工'!$B$3:$U$48,14,0)</f>
        <v>0</v>
      </c>
      <c r="P25" s="106">
        <f t="shared" si="0"/>
        <v>500</v>
      </c>
      <c r="Q25" s="90">
        <f>VLOOKUP(B25,'2加工'!$B$3:$U$48,16,0)</f>
        <v>0</v>
      </c>
      <c r="R25" s="90">
        <f t="shared" si="9"/>
        <v>0</v>
      </c>
      <c r="S25" s="93">
        <f t="shared" si="10"/>
        <v>67.93</v>
      </c>
      <c r="T25" s="90">
        <f t="shared" si="11"/>
        <v>67.93</v>
      </c>
      <c r="U25" s="90">
        <f t="shared" si="12"/>
        <v>0</v>
      </c>
      <c r="V25" s="3"/>
      <c r="W25" s="88">
        <v>0</v>
      </c>
      <c r="X25" s="88">
        <v>500</v>
      </c>
      <c r="Z25" s="124" t="s">
        <v>88</v>
      </c>
      <c r="AA25" s="4" t="s">
        <v>37</v>
      </c>
    </row>
    <row r="26" ht="37" customHeight="1" spans="1:24">
      <c r="A26" s="3">
        <v>22</v>
      </c>
      <c r="B26" s="4" t="s">
        <v>38</v>
      </c>
      <c r="C26" s="88" t="s">
        <v>87</v>
      </c>
      <c r="D26" s="89" t="s">
        <v>87</v>
      </c>
      <c r="E26" s="88" t="s">
        <v>87</v>
      </c>
      <c r="F26" s="90" t="s">
        <v>87</v>
      </c>
      <c r="G26" s="90" t="s">
        <v>87</v>
      </c>
      <c r="H26" s="88" t="s">
        <v>87</v>
      </c>
      <c r="I26" s="89" t="s">
        <v>87</v>
      </c>
      <c r="J26" s="88" t="s">
        <v>87</v>
      </c>
      <c r="K26" s="90" t="s">
        <v>87</v>
      </c>
      <c r="L26" s="90" t="s">
        <v>87</v>
      </c>
      <c r="M26" s="88" t="s">
        <v>87</v>
      </c>
      <c r="N26" s="89" t="s">
        <v>87</v>
      </c>
      <c r="O26" s="88" t="s">
        <v>87</v>
      </c>
      <c r="P26" s="106">
        <f t="shared" si="0"/>
        <v>500</v>
      </c>
      <c r="Q26" s="90">
        <v>0</v>
      </c>
      <c r="R26" s="90" t="s">
        <v>87</v>
      </c>
      <c r="S26" s="93" t="s">
        <v>87</v>
      </c>
      <c r="T26" s="90" t="s">
        <v>87</v>
      </c>
      <c r="U26" s="90" t="s">
        <v>87</v>
      </c>
      <c r="V26" s="3"/>
      <c r="W26" s="88">
        <v>0</v>
      </c>
      <c r="X26" s="88">
        <v>500</v>
      </c>
    </row>
    <row r="27" ht="46" customHeight="1" spans="1:24">
      <c r="A27" s="3">
        <v>23</v>
      </c>
      <c r="B27" s="4" t="s">
        <v>39</v>
      </c>
      <c r="C27" s="88" t="s">
        <v>87</v>
      </c>
      <c r="D27" s="89" t="s">
        <v>87</v>
      </c>
      <c r="E27" s="88" t="s">
        <v>87</v>
      </c>
      <c r="F27" s="90" t="s">
        <v>87</v>
      </c>
      <c r="G27" s="90" t="s">
        <v>87</v>
      </c>
      <c r="H27" s="88" t="s">
        <v>87</v>
      </c>
      <c r="I27" s="89" t="s">
        <v>87</v>
      </c>
      <c r="J27" s="88" t="s">
        <v>87</v>
      </c>
      <c r="K27" s="90" t="s">
        <v>87</v>
      </c>
      <c r="L27" s="90" t="s">
        <v>87</v>
      </c>
      <c r="M27" s="88" t="s">
        <v>87</v>
      </c>
      <c r="N27" s="89" t="s">
        <v>87</v>
      </c>
      <c r="O27" s="88" t="s">
        <v>87</v>
      </c>
      <c r="P27" s="106">
        <f t="shared" si="0"/>
        <v>500</v>
      </c>
      <c r="Q27" s="90">
        <v>0</v>
      </c>
      <c r="R27" s="90" t="s">
        <v>87</v>
      </c>
      <c r="S27" s="93" t="s">
        <v>87</v>
      </c>
      <c r="T27" s="90" t="s">
        <v>87</v>
      </c>
      <c r="U27" s="90" t="s">
        <v>87</v>
      </c>
      <c r="V27" s="3"/>
      <c r="W27" s="88">
        <v>0</v>
      </c>
      <c r="X27" s="88">
        <v>500</v>
      </c>
    </row>
    <row r="28" ht="45" customHeight="1" spans="1:24">
      <c r="A28" s="3">
        <v>24</v>
      </c>
      <c r="B28" s="4" t="s">
        <v>40</v>
      </c>
      <c r="C28" s="88">
        <f>VLOOKUP(B28,'2加工'!$B$3:$U$47,2,0)</f>
        <v>1300</v>
      </c>
      <c r="D28" s="89">
        <f>VLOOKUP(B28,'2加工'!$B$3:$U$48,3,0)</f>
        <v>45</v>
      </c>
      <c r="E28" s="88">
        <f>VLOOKUP(B28,'2加工'!$B$3:$U$48,4,0)</f>
        <v>6.55</v>
      </c>
      <c r="F28" s="90">
        <f>VLOOKUP(B28,'2加工'!$B$3:$U$48,5,0)</f>
        <v>6.54999999999999</v>
      </c>
      <c r="G28" s="90">
        <f>E28-F28</f>
        <v>9.76996261670138e-15</v>
      </c>
      <c r="H28" s="88">
        <f>VLOOKUP(B28,'2加工'!$B$3:$U$48,7,0)</f>
        <v>0</v>
      </c>
      <c r="I28" s="89">
        <f>VLOOKUP(B28,'2加工'!$B$3:$U$48,8,0)</f>
        <v>0</v>
      </c>
      <c r="J28" s="88">
        <f>VLOOKUP(B28,'2加工'!$B$3:$U$48,9,0)</f>
        <v>0</v>
      </c>
      <c r="K28" s="90">
        <f>VLOOKUP(B28,'2加工'!$B$3:$U$48,10,0)</f>
        <v>0</v>
      </c>
      <c r="L28" s="90">
        <f>J28-K28</f>
        <v>0</v>
      </c>
      <c r="M28" s="88">
        <f>VLOOKUP(B28,'2加工'!$B$3:$U$48,12,0)</f>
        <v>0</v>
      </c>
      <c r="N28" s="89">
        <f>VLOOKUP(B28,'2加工'!$B$3:$U$48,13,0)</f>
        <v>0</v>
      </c>
      <c r="O28" s="88">
        <f>VLOOKUP(B28,'2加工'!$B$3:$U$48,14,0)</f>
        <v>0</v>
      </c>
      <c r="P28" s="106">
        <f t="shared" si="0"/>
        <v>500</v>
      </c>
      <c r="Q28" s="90">
        <f>VLOOKUP(B28,'2加工'!$B$3:$U$48,16,0)</f>
        <v>0</v>
      </c>
      <c r="R28" s="90">
        <f>+O28-Q28</f>
        <v>0</v>
      </c>
      <c r="S28" s="93">
        <f>SUM(E28,J28,O28)</f>
        <v>6.55</v>
      </c>
      <c r="T28" s="90">
        <f>SUM(F28,K28,Q28)</f>
        <v>6.54999999999999</v>
      </c>
      <c r="U28" s="90">
        <f>SUM(G28,L28,R28)</f>
        <v>9.76996261670138e-15</v>
      </c>
      <c r="V28" s="3"/>
      <c r="W28" s="88">
        <v>0</v>
      </c>
      <c r="X28" s="88">
        <v>500</v>
      </c>
    </row>
    <row r="29" ht="43" customHeight="1" spans="1:24">
      <c r="A29" s="3">
        <v>25</v>
      </c>
      <c r="B29" s="4" t="s">
        <v>41</v>
      </c>
      <c r="C29" s="88" t="s">
        <v>87</v>
      </c>
      <c r="D29" s="89" t="s">
        <v>87</v>
      </c>
      <c r="E29" s="88" t="s">
        <v>87</v>
      </c>
      <c r="F29" s="90" t="s">
        <v>87</v>
      </c>
      <c r="G29" s="90" t="s">
        <v>87</v>
      </c>
      <c r="H29" s="88" t="s">
        <v>87</v>
      </c>
      <c r="I29" s="89" t="s">
        <v>87</v>
      </c>
      <c r="J29" s="88" t="s">
        <v>87</v>
      </c>
      <c r="K29" s="90" t="s">
        <v>87</v>
      </c>
      <c r="L29" s="90" t="s">
        <v>87</v>
      </c>
      <c r="M29" s="88" t="s">
        <v>87</v>
      </c>
      <c r="N29" s="89" t="s">
        <v>87</v>
      </c>
      <c r="O29" s="88" t="s">
        <v>87</v>
      </c>
      <c r="P29" s="106">
        <f t="shared" si="0"/>
        <v>500</v>
      </c>
      <c r="Q29" s="90">
        <v>0</v>
      </c>
      <c r="R29" s="90" t="s">
        <v>87</v>
      </c>
      <c r="S29" s="93" t="s">
        <v>87</v>
      </c>
      <c r="T29" s="90" t="s">
        <v>87</v>
      </c>
      <c r="U29" s="90" t="s">
        <v>87</v>
      </c>
      <c r="V29" s="3"/>
      <c r="W29" s="88">
        <v>0</v>
      </c>
      <c r="X29" s="88">
        <v>500</v>
      </c>
    </row>
    <row r="30" ht="46" customHeight="1" spans="1:24">
      <c r="A30" s="3">
        <v>26</v>
      </c>
      <c r="B30" s="4" t="s">
        <v>42</v>
      </c>
      <c r="C30" s="88" t="s">
        <v>87</v>
      </c>
      <c r="D30" s="89" t="s">
        <v>87</v>
      </c>
      <c r="E30" s="88" t="s">
        <v>87</v>
      </c>
      <c r="F30" s="90" t="s">
        <v>87</v>
      </c>
      <c r="G30" s="90" t="s">
        <v>87</v>
      </c>
      <c r="H30" s="88" t="s">
        <v>87</v>
      </c>
      <c r="I30" s="89" t="s">
        <v>87</v>
      </c>
      <c r="J30" s="88" t="s">
        <v>87</v>
      </c>
      <c r="K30" s="90" t="s">
        <v>87</v>
      </c>
      <c r="L30" s="90" t="s">
        <v>87</v>
      </c>
      <c r="M30" s="88" t="s">
        <v>87</v>
      </c>
      <c r="N30" s="89" t="s">
        <v>87</v>
      </c>
      <c r="O30" s="88" t="s">
        <v>87</v>
      </c>
      <c r="P30" s="106">
        <f t="shared" si="0"/>
        <v>500</v>
      </c>
      <c r="Q30" s="90">
        <v>0</v>
      </c>
      <c r="R30" s="90" t="s">
        <v>87</v>
      </c>
      <c r="S30" s="93" t="s">
        <v>87</v>
      </c>
      <c r="T30" s="90" t="s">
        <v>87</v>
      </c>
      <c r="U30" s="90" t="s">
        <v>87</v>
      </c>
      <c r="V30" s="3"/>
      <c r="W30" s="88">
        <v>0</v>
      </c>
      <c r="X30" s="88">
        <v>500</v>
      </c>
    </row>
    <row r="31" ht="45" customHeight="1" spans="1:24">
      <c r="A31" s="3">
        <v>27</v>
      </c>
      <c r="B31" s="4" t="s">
        <v>43</v>
      </c>
      <c r="C31" s="88">
        <f>VLOOKUP(B31,'2加工'!$B$3:$U$47,2,0)</f>
        <v>10360</v>
      </c>
      <c r="D31" s="89">
        <f>VLOOKUP(B31,'2加工'!$B$3:$U$48,3,0)</f>
        <v>28</v>
      </c>
      <c r="E31" s="88">
        <f>VLOOKUP(B31,'2加工'!$B$3:$U$48,4,0)</f>
        <v>51.16</v>
      </c>
      <c r="F31" s="90">
        <f>VLOOKUP(B31,'2加工'!$B$3:$U$48,5,0)</f>
        <v>46.6</v>
      </c>
      <c r="G31" s="90">
        <f t="shared" ref="G31:G42" si="13">E31-F31</f>
        <v>4.56</v>
      </c>
      <c r="H31" s="88">
        <f>VLOOKUP(B31,'2加工'!$B$3:$U$48,7,0)</f>
        <v>8510</v>
      </c>
      <c r="I31" s="89">
        <f>VLOOKUP(B31,'2加工'!$B$3:$U$48,8,0)</f>
        <v>9</v>
      </c>
      <c r="J31" s="88">
        <f>VLOOKUP(B31,'2加工'!$B$3:$U$48,9,0)</f>
        <v>42.43</v>
      </c>
      <c r="K31" s="90">
        <f>VLOOKUP(B31,'2加工'!$B$3:$U$48,10,0)</f>
        <v>37.67</v>
      </c>
      <c r="L31" s="90">
        <f t="shared" ref="L31:L42" si="14">J31-K31</f>
        <v>4.76</v>
      </c>
      <c r="M31" s="88">
        <f>VLOOKUP(B31,'2加工'!$B$3:$U$48,12,0)</f>
        <v>45195.5</v>
      </c>
      <c r="N31" s="89">
        <f>VLOOKUP(B31,'2加工'!$B$3:$U$48,13,0)</f>
        <v>336</v>
      </c>
      <c r="O31" s="88">
        <f>VLOOKUP(B31,'2加工'!$B$3:$U$48,14,0)</f>
        <v>90.37</v>
      </c>
      <c r="P31" s="106">
        <f t="shared" si="0"/>
        <v>409.76</v>
      </c>
      <c r="Q31" s="90">
        <f>VLOOKUP(B31,'2加工'!$B$3:$U$48,16,0)</f>
        <v>90.2400000000001</v>
      </c>
      <c r="R31" s="90">
        <f t="shared" ref="R31:R42" si="15">+O31-Q31</f>
        <v>0.12999999999991</v>
      </c>
      <c r="S31" s="93">
        <f t="shared" ref="S31:S42" si="16">SUM(E31,J31,O31)</f>
        <v>183.96</v>
      </c>
      <c r="T31" s="90">
        <f t="shared" ref="T31:T42" si="17">SUM(F31,K31,Q31)</f>
        <v>174.51</v>
      </c>
      <c r="U31" s="90">
        <f t="shared" ref="U31:U42" si="18">SUM(G31,L31,R31)</f>
        <v>9.4499999999999</v>
      </c>
      <c r="V31" s="3"/>
      <c r="W31" s="88">
        <v>90.2400000000001</v>
      </c>
      <c r="X31" s="88">
        <v>409.76</v>
      </c>
    </row>
    <row r="32" ht="45" customHeight="1" spans="1:24">
      <c r="A32" s="3">
        <v>28</v>
      </c>
      <c r="B32" s="4" t="s">
        <v>44</v>
      </c>
      <c r="C32" s="88">
        <f>VLOOKUP(B32,'2加工'!$B$3:$U$47,2,0)</f>
        <v>5748</v>
      </c>
      <c r="D32" s="89">
        <f>VLOOKUP(B32,'2加工'!$B$3:$U$48,3,0)</f>
        <v>72</v>
      </c>
      <c r="E32" s="88">
        <f>VLOOKUP(B32,'2加工'!$B$3:$U$48,4,0)</f>
        <v>28.74</v>
      </c>
      <c r="F32" s="90">
        <f>VLOOKUP(B32,'2加工'!$B$3:$U$48,5,0)</f>
        <v>25.74</v>
      </c>
      <c r="G32" s="90">
        <f t="shared" si="13"/>
        <v>3</v>
      </c>
      <c r="H32" s="88">
        <f>VLOOKUP(B32,'2加工'!$B$3:$U$48,7,0)</f>
        <v>0</v>
      </c>
      <c r="I32" s="89">
        <f>VLOOKUP(B32,'2加工'!$B$3:$U$48,8,0)</f>
        <v>0</v>
      </c>
      <c r="J32" s="88">
        <f>VLOOKUP(B32,'2加工'!$B$3:$U$48,9,0)</f>
        <v>0</v>
      </c>
      <c r="K32" s="90">
        <f>VLOOKUP(B32,'2加工'!$B$3:$U$48,10,0)</f>
        <v>0</v>
      </c>
      <c r="L32" s="90">
        <f t="shared" si="14"/>
        <v>0</v>
      </c>
      <c r="M32" s="88">
        <f>VLOOKUP(B32,'2加工'!$B$3:$U$48,12,0)</f>
        <v>0</v>
      </c>
      <c r="N32" s="89">
        <f>VLOOKUP(B32,'2加工'!$B$3:$U$48,13,0)</f>
        <v>0</v>
      </c>
      <c r="O32" s="88">
        <f>VLOOKUP(B32,'2加工'!$B$3:$U$48,14,0)</f>
        <v>0</v>
      </c>
      <c r="P32" s="106">
        <f t="shared" si="0"/>
        <v>500</v>
      </c>
      <c r="Q32" s="90">
        <f>VLOOKUP(B32,'2加工'!$B$3:$U$48,16,0)</f>
        <v>0</v>
      </c>
      <c r="R32" s="90">
        <f t="shared" si="15"/>
        <v>0</v>
      </c>
      <c r="S32" s="93">
        <f t="shared" si="16"/>
        <v>28.74</v>
      </c>
      <c r="T32" s="90">
        <f t="shared" si="17"/>
        <v>25.74</v>
      </c>
      <c r="U32" s="90">
        <f t="shared" si="18"/>
        <v>3</v>
      </c>
      <c r="V32" s="3"/>
      <c r="W32" s="88">
        <v>0</v>
      </c>
      <c r="X32" s="88">
        <v>500</v>
      </c>
    </row>
    <row r="33" ht="45" customHeight="1" spans="1:24">
      <c r="A33" s="3">
        <v>29</v>
      </c>
      <c r="B33" s="4" t="s">
        <v>45</v>
      </c>
      <c r="C33" s="88">
        <f>VLOOKUP(B33,'2加工'!$B$3:$U$47,2,0)</f>
        <v>5425.8</v>
      </c>
      <c r="D33" s="89">
        <f>VLOOKUP(B33,'2加工'!$B$3:$U$48,3,0)</f>
        <v>16</v>
      </c>
      <c r="E33" s="88">
        <f>VLOOKUP(B33,'2加工'!$B$3:$U$48,4,0)</f>
        <v>25.72</v>
      </c>
      <c r="F33" s="90">
        <f>VLOOKUP(B33,'2加工'!$B$3:$U$48,5,0)</f>
        <v>25.72</v>
      </c>
      <c r="G33" s="90">
        <f t="shared" si="13"/>
        <v>0</v>
      </c>
      <c r="H33" s="88">
        <f>VLOOKUP(B33,'2加工'!$B$3:$U$48,7,0)</f>
        <v>700</v>
      </c>
      <c r="I33" s="89">
        <f>VLOOKUP(B33,'2加工'!$B$3:$U$48,8,0)</f>
        <v>1</v>
      </c>
      <c r="J33" s="88">
        <f>VLOOKUP(B33,'2加工'!$B$3:$U$48,9,0)</f>
        <v>3.5</v>
      </c>
      <c r="K33" s="90">
        <f>VLOOKUP(B33,'2加工'!$B$3:$U$48,10,0)</f>
        <v>3.5</v>
      </c>
      <c r="L33" s="90">
        <f t="shared" si="14"/>
        <v>0</v>
      </c>
      <c r="M33" s="88">
        <f>VLOOKUP(B33,'2加工'!$B$3:$U$48,12,0)</f>
        <v>0</v>
      </c>
      <c r="N33" s="89">
        <f>VLOOKUP(B33,'2加工'!$B$3:$U$48,13,0)</f>
        <v>0</v>
      </c>
      <c r="O33" s="88">
        <f>VLOOKUP(B33,'2加工'!$B$3:$U$48,14,0)</f>
        <v>0</v>
      </c>
      <c r="P33" s="106">
        <f t="shared" si="0"/>
        <v>500</v>
      </c>
      <c r="Q33" s="90">
        <f>VLOOKUP(B33,'2加工'!$B$3:$U$48,16,0)</f>
        <v>0</v>
      </c>
      <c r="R33" s="90">
        <f t="shared" si="15"/>
        <v>0</v>
      </c>
      <c r="S33" s="93">
        <f t="shared" si="16"/>
        <v>29.22</v>
      </c>
      <c r="T33" s="90">
        <f t="shared" si="17"/>
        <v>29.22</v>
      </c>
      <c r="U33" s="90">
        <f t="shared" si="18"/>
        <v>0</v>
      </c>
      <c r="V33" s="3"/>
      <c r="W33" s="88">
        <v>0</v>
      </c>
      <c r="X33" s="88">
        <v>500</v>
      </c>
    </row>
    <row r="34" ht="45" customHeight="1" spans="1:24">
      <c r="A34" s="3">
        <v>30</v>
      </c>
      <c r="B34" s="4" t="s">
        <v>46</v>
      </c>
      <c r="C34" s="88">
        <f>VLOOKUP(B34,'2加工'!$B$3:$U$47,2,0)</f>
        <v>11054</v>
      </c>
      <c r="D34" s="89">
        <f>VLOOKUP(B34,'2加工'!$B$3:$U$48,3,0)</f>
        <v>48</v>
      </c>
      <c r="E34" s="88">
        <f>VLOOKUP(B34,'2加工'!$B$3:$U$48,4,0)</f>
        <v>54.05</v>
      </c>
      <c r="F34" s="90">
        <f>VLOOKUP(B34,'2加工'!$B$3:$U$48,5,0)</f>
        <v>31.63</v>
      </c>
      <c r="G34" s="90">
        <f t="shared" si="13"/>
        <v>22.42</v>
      </c>
      <c r="H34" s="88">
        <f>VLOOKUP(B34,'2加工'!$B$3:$U$48,7,0)</f>
        <v>7400</v>
      </c>
      <c r="I34" s="89">
        <f>VLOOKUP(B34,'2加工'!$B$3:$U$48,8,0)</f>
        <v>8</v>
      </c>
      <c r="J34" s="88">
        <f>VLOOKUP(B34,'2加工'!$B$3:$U$48,9,0)</f>
        <v>36.97</v>
      </c>
      <c r="K34" s="90">
        <f>VLOOKUP(B34,'2加工'!$B$3:$U$48,10,0)</f>
        <v>32.97</v>
      </c>
      <c r="L34" s="90">
        <f t="shared" si="14"/>
        <v>4</v>
      </c>
      <c r="M34" s="88">
        <f>VLOOKUP(B34,'2加工'!$B$3:$U$48,12,0)</f>
        <v>0</v>
      </c>
      <c r="N34" s="89">
        <f>VLOOKUP(B34,'2加工'!$B$3:$U$48,13,0)</f>
        <v>0</v>
      </c>
      <c r="O34" s="88">
        <f>VLOOKUP(B34,'2加工'!$B$3:$U$48,14,0)</f>
        <v>0</v>
      </c>
      <c r="P34" s="106">
        <f t="shared" si="0"/>
        <v>500</v>
      </c>
      <c r="Q34" s="90">
        <f>VLOOKUP(B34,'2加工'!$B$3:$U$48,16,0)</f>
        <v>0</v>
      </c>
      <c r="R34" s="90">
        <f t="shared" si="15"/>
        <v>0</v>
      </c>
      <c r="S34" s="93">
        <f t="shared" si="16"/>
        <v>91.02</v>
      </c>
      <c r="T34" s="90">
        <f t="shared" si="17"/>
        <v>64.6</v>
      </c>
      <c r="U34" s="90">
        <f t="shared" si="18"/>
        <v>26.42</v>
      </c>
      <c r="V34" s="3"/>
      <c r="W34" s="88">
        <v>0</v>
      </c>
      <c r="X34" s="88">
        <v>500</v>
      </c>
    </row>
    <row r="35" ht="45" customHeight="1" spans="1:24">
      <c r="A35" s="3">
        <v>31</v>
      </c>
      <c r="B35" s="4" t="s">
        <v>47</v>
      </c>
      <c r="C35" s="88">
        <f>VLOOKUP(B35,'2加工'!$B$3:$U$47,2,0)</f>
        <v>4677</v>
      </c>
      <c r="D35" s="89">
        <f>VLOOKUP(B35,'2加工'!$B$3:$U$48,3,0)</f>
        <v>18</v>
      </c>
      <c r="E35" s="88">
        <f>VLOOKUP(B35,'2加工'!$B$3:$U$48,4,0)</f>
        <v>23.24</v>
      </c>
      <c r="F35" s="90">
        <f>VLOOKUP(B35,'2加工'!$B$3:$U$48,5,0)</f>
        <v>21.72</v>
      </c>
      <c r="G35" s="90">
        <f t="shared" si="13"/>
        <v>1.52</v>
      </c>
      <c r="H35" s="88">
        <f>VLOOKUP(B35,'2加工'!$B$3:$U$48,7,0)</f>
        <v>4500</v>
      </c>
      <c r="I35" s="89">
        <f>VLOOKUP(B35,'2加工'!$B$3:$U$48,8,0)</f>
        <v>5</v>
      </c>
      <c r="J35" s="88">
        <f>VLOOKUP(B35,'2加工'!$B$3:$U$48,9,0)</f>
        <v>22.42</v>
      </c>
      <c r="K35" s="90">
        <f>VLOOKUP(B35,'2加工'!$B$3:$U$48,10,0)</f>
        <v>22.42</v>
      </c>
      <c r="L35" s="90">
        <f t="shared" si="14"/>
        <v>0</v>
      </c>
      <c r="M35" s="88">
        <f>VLOOKUP(B35,'2加工'!$B$3:$U$48,12,0)</f>
        <v>0</v>
      </c>
      <c r="N35" s="89">
        <f>VLOOKUP(B35,'2加工'!$B$3:$U$48,13,0)</f>
        <v>0</v>
      </c>
      <c r="O35" s="88">
        <f>VLOOKUP(B35,'2加工'!$B$3:$U$48,14,0)</f>
        <v>0</v>
      </c>
      <c r="P35" s="106">
        <f t="shared" si="0"/>
        <v>500</v>
      </c>
      <c r="Q35" s="90">
        <f>VLOOKUP(B35,'2加工'!$B$3:$U$48,16,0)</f>
        <v>0</v>
      </c>
      <c r="R35" s="90">
        <f t="shared" si="15"/>
        <v>0</v>
      </c>
      <c r="S35" s="93">
        <f t="shared" si="16"/>
        <v>45.66</v>
      </c>
      <c r="T35" s="90">
        <f t="shared" si="17"/>
        <v>44.14</v>
      </c>
      <c r="U35" s="90">
        <f t="shared" si="18"/>
        <v>1.52</v>
      </c>
      <c r="V35" s="3"/>
      <c r="W35" s="88">
        <v>0</v>
      </c>
      <c r="X35" s="88">
        <v>500</v>
      </c>
    </row>
    <row r="36" ht="45" customHeight="1" spans="1:24">
      <c r="A36" s="3">
        <v>32</v>
      </c>
      <c r="B36" s="4" t="s">
        <v>48</v>
      </c>
      <c r="C36" s="88">
        <f>VLOOKUP(B36,'2加工'!$B$3:$U$47,2,0)</f>
        <v>850</v>
      </c>
      <c r="D36" s="89">
        <f>VLOOKUP(B36,'2加工'!$B$3:$U$48,3,0)</f>
        <v>2</v>
      </c>
      <c r="E36" s="88">
        <f>VLOOKUP(B36,'2加工'!$B$3:$U$48,4,0)</f>
        <v>4.25</v>
      </c>
      <c r="F36" s="90">
        <f>VLOOKUP(B36,'2加工'!$B$3:$U$48,5,0)</f>
        <v>4.25</v>
      </c>
      <c r="G36" s="90">
        <f t="shared" si="13"/>
        <v>0</v>
      </c>
      <c r="H36" s="88">
        <f>VLOOKUP(B36,'2加工'!$B$3:$U$48,7,0)</f>
        <v>1300</v>
      </c>
      <c r="I36" s="89">
        <f>VLOOKUP(B36,'2加工'!$B$3:$U$48,8,0)</f>
        <v>2</v>
      </c>
      <c r="J36" s="88">
        <f>VLOOKUP(B36,'2加工'!$B$3:$U$48,9,0)</f>
        <v>6.5</v>
      </c>
      <c r="K36" s="90">
        <f>VLOOKUP(B36,'2加工'!$B$3:$U$48,10,0)</f>
        <v>6.5</v>
      </c>
      <c r="L36" s="90">
        <f t="shared" si="14"/>
        <v>0</v>
      </c>
      <c r="M36" s="88">
        <f>VLOOKUP(B36,'2加工'!$B$3:$U$48,12,0)</f>
        <v>0</v>
      </c>
      <c r="N36" s="89">
        <f>VLOOKUP(B36,'2加工'!$B$3:$U$48,13,0)</f>
        <v>0</v>
      </c>
      <c r="O36" s="88">
        <f>VLOOKUP(B36,'2加工'!$B$3:$U$48,14,0)</f>
        <v>0</v>
      </c>
      <c r="P36" s="106">
        <f t="shared" si="0"/>
        <v>500</v>
      </c>
      <c r="Q36" s="90">
        <f>VLOOKUP(B36,'2加工'!$B$3:$U$48,16,0)</f>
        <v>0</v>
      </c>
      <c r="R36" s="90">
        <f t="shared" si="15"/>
        <v>0</v>
      </c>
      <c r="S36" s="93">
        <f t="shared" si="16"/>
        <v>10.75</v>
      </c>
      <c r="T36" s="90">
        <f t="shared" si="17"/>
        <v>10.75</v>
      </c>
      <c r="U36" s="90">
        <f t="shared" si="18"/>
        <v>0</v>
      </c>
      <c r="V36" s="3"/>
      <c r="W36" s="88">
        <v>0</v>
      </c>
      <c r="X36" s="88">
        <v>500</v>
      </c>
    </row>
    <row r="37" ht="45" customHeight="1" spans="1:27">
      <c r="A37" s="3">
        <v>33</v>
      </c>
      <c r="B37" s="4" t="s">
        <v>89</v>
      </c>
      <c r="C37" s="88">
        <f>VLOOKUP(B37,'2加工'!$B$3:$U$47,2,0)</f>
        <v>6823.68</v>
      </c>
      <c r="D37" s="89">
        <f>VLOOKUP(B37,'2加工'!$B$3:$U$48,3,0)</f>
        <v>8</v>
      </c>
      <c r="E37" s="88">
        <f>VLOOKUP(B37,'2加工'!$B$3:$U$48,4,0)</f>
        <v>19.357672</v>
      </c>
      <c r="F37" s="90">
        <f>VLOOKUP(B37,'2加工'!$B$3:$U$48,5,0)</f>
        <v>19.357672</v>
      </c>
      <c r="G37" s="90">
        <f t="shared" si="13"/>
        <v>0</v>
      </c>
      <c r="H37" s="88">
        <f>VLOOKUP(B37,'2加工'!$B$3:$U$48,7,0)</f>
        <v>15710</v>
      </c>
      <c r="I37" s="89">
        <f>VLOOKUP(B37,'2加工'!$B$3:$U$48,8,0)</f>
        <v>21</v>
      </c>
      <c r="J37" s="88">
        <f>VLOOKUP(B37,'2加工'!$B$3:$U$48,9,0)</f>
        <v>84.662328</v>
      </c>
      <c r="K37" s="90">
        <f>VLOOKUP(B37,'2加工'!$B$3:$U$48,10,0)</f>
        <v>84.662328</v>
      </c>
      <c r="L37" s="90">
        <f t="shared" si="14"/>
        <v>0</v>
      </c>
      <c r="M37" s="88">
        <f>VLOOKUP(B37,'2加工'!$B$3:$U$48,12,0)</f>
        <v>0</v>
      </c>
      <c r="N37" s="89">
        <f>VLOOKUP(B37,'2加工'!$B$3:$U$48,13,0)</f>
        <v>0</v>
      </c>
      <c r="O37" s="88">
        <f>VLOOKUP(B37,'2加工'!$B$3:$U$48,14,0)</f>
        <v>0</v>
      </c>
      <c r="P37" s="106">
        <f t="shared" si="0"/>
        <v>500</v>
      </c>
      <c r="Q37" s="90">
        <f>VLOOKUP(B37,'2加工'!$B$3:$U$48,16,0)</f>
        <v>0</v>
      </c>
      <c r="R37" s="90">
        <f t="shared" si="15"/>
        <v>0</v>
      </c>
      <c r="S37" s="93">
        <f t="shared" si="16"/>
        <v>104.02</v>
      </c>
      <c r="T37" s="90">
        <f t="shared" si="17"/>
        <v>104.02</v>
      </c>
      <c r="U37" s="90">
        <f t="shared" si="18"/>
        <v>0</v>
      </c>
      <c r="V37" s="3"/>
      <c r="W37" s="88">
        <v>0</v>
      </c>
      <c r="X37" s="88">
        <v>500</v>
      </c>
      <c r="Z37" s="47" t="s">
        <v>89</v>
      </c>
      <c r="AA37" s="4" t="s">
        <v>49</v>
      </c>
    </row>
    <row r="38" ht="45" customHeight="1" spans="1:24">
      <c r="A38" s="3">
        <v>34</v>
      </c>
      <c r="B38" s="4" t="s">
        <v>50</v>
      </c>
      <c r="C38" s="88">
        <f>VLOOKUP(B38,'2加工'!$B$3:$U$47,2,0)</f>
        <v>9748</v>
      </c>
      <c r="D38" s="89">
        <f>VLOOKUP(B38,'2加工'!$B$3:$U$48,3,0)</f>
        <v>194</v>
      </c>
      <c r="E38" s="88">
        <f>VLOOKUP(B38,'2加工'!$B$3:$U$48,4,0)</f>
        <v>49.41</v>
      </c>
      <c r="F38" s="90">
        <f>VLOOKUP(B38,'2加工'!$B$3:$U$48,5,0)</f>
        <v>49.36</v>
      </c>
      <c r="G38" s="90">
        <f t="shared" si="13"/>
        <v>0.0499999999999972</v>
      </c>
      <c r="H38" s="88">
        <f>VLOOKUP(B38,'2加工'!$B$3:$U$48,7,0)</f>
        <v>4700</v>
      </c>
      <c r="I38" s="89">
        <f>VLOOKUP(B38,'2加工'!$B$3:$U$48,8,0)</f>
        <v>7</v>
      </c>
      <c r="J38" s="88">
        <f>VLOOKUP(B38,'2加工'!$B$3:$U$48,9,0)</f>
        <v>21.14</v>
      </c>
      <c r="K38" s="90">
        <f>VLOOKUP(B38,'2加工'!$B$3:$U$48,10,0)</f>
        <v>21.14</v>
      </c>
      <c r="L38" s="90">
        <f t="shared" si="14"/>
        <v>0</v>
      </c>
      <c r="M38" s="88">
        <f>VLOOKUP(B38,'2加工'!$B$3:$U$48,12,0)</f>
        <v>0</v>
      </c>
      <c r="N38" s="89">
        <f>VLOOKUP(B38,'2加工'!$B$3:$U$48,13,0)</f>
        <v>0</v>
      </c>
      <c r="O38" s="88">
        <f>VLOOKUP(B38,'2加工'!$B$3:$U$48,14,0)</f>
        <v>0</v>
      </c>
      <c r="P38" s="106">
        <f t="shared" si="0"/>
        <v>500</v>
      </c>
      <c r="Q38" s="90">
        <f>VLOOKUP(B38,'2加工'!$B$3:$U$48,16,0)</f>
        <v>0</v>
      </c>
      <c r="R38" s="90">
        <f t="shared" si="15"/>
        <v>0</v>
      </c>
      <c r="S38" s="93">
        <f t="shared" si="16"/>
        <v>70.55</v>
      </c>
      <c r="T38" s="90">
        <f t="shared" si="17"/>
        <v>70.5</v>
      </c>
      <c r="U38" s="90">
        <f t="shared" si="18"/>
        <v>0.0499999999999972</v>
      </c>
      <c r="V38" s="3"/>
      <c r="W38" s="88">
        <v>0</v>
      </c>
      <c r="X38" s="88">
        <v>500</v>
      </c>
    </row>
    <row r="39" ht="45" customHeight="1" spans="1:24">
      <c r="A39" s="3">
        <v>35</v>
      </c>
      <c r="B39" s="4" t="s">
        <v>51</v>
      </c>
      <c r="C39" s="88">
        <f>VLOOKUP(B39,'2加工'!$B$3:$U$47,2,0)</f>
        <v>10</v>
      </c>
      <c r="D39" s="89">
        <f>VLOOKUP(B39,'2加工'!$B$3:$U$48,3,0)</f>
        <v>1</v>
      </c>
      <c r="E39" s="88">
        <f>VLOOKUP(B39,'2加工'!$B$3:$U$48,4,0)</f>
        <v>0.05</v>
      </c>
      <c r="F39" s="90">
        <f>VLOOKUP(B39,'2加工'!$B$3:$U$48,5,0)</f>
        <v>0.05</v>
      </c>
      <c r="G39" s="90">
        <f t="shared" si="13"/>
        <v>0</v>
      </c>
      <c r="H39" s="88">
        <f>VLOOKUP(B39,'2加工'!$B$3:$U$48,7,0)</f>
        <v>0</v>
      </c>
      <c r="I39" s="89">
        <f>VLOOKUP(B39,'2加工'!$B$3:$U$48,8,0)</f>
        <v>0</v>
      </c>
      <c r="J39" s="88">
        <f>VLOOKUP(B39,'2加工'!$B$3:$U$48,9,0)</f>
        <v>0</v>
      </c>
      <c r="K39" s="90">
        <f>VLOOKUP(B39,'2加工'!$B$3:$U$48,10,0)</f>
        <v>0</v>
      </c>
      <c r="L39" s="90">
        <f t="shared" si="14"/>
        <v>0</v>
      </c>
      <c r="M39" s="88">
        <f>VLOOKUP(B39,'2加工'!$B$3:$U$48,12,0)</f>
        <v>95209.4</v>
      </c>
      <c r="N39" s="89">
        <f>VLOOKUP(B39,'2加工'!$B$3:$U$48,13,0)</f>
        <v>836</v>
      </c>
      <c r="O39" s="88">
        <f>VLOOKUP(B39,'2加工'!$B$3:$U$48,14,0)</f>
        <v>190.079999999998</v>
      </c>
      <c r="P39" s="106">
        <f t="shared" si="0"/>
        <v>309.920000000002</v>
      </c>
      <c r="Q39" s="90">
        <f>VLOOKUP(B39,'2加工'!$B$3:$U$48,16,0)</f>
        <v>190.079999999998</v>
      </c>
      <c r="R39" s="90">
        <f t="shared" si="15"/>
        <v>0</v>
      </c>
      <c r="S39" s="93">
        <f t="shared" si="16"/>
        <v>190.129999999998</v>
      </c>
      <c r="T39" s="90">
        <f t="shared" si="17"/>
        <v>190.129999999998</v>
      </c>
      <c r="U39" s="90">
        <f t="shared" si="18"/>
        <v>0</v>
      </c>
      <c r="V39" s="3"/>
      <c r="W39" s="88">
        <v>190.079999999998</v>
      </c>
      <c r="X39" s="88">
        <v>309.920000000002</v>
      </c>
    </row>
    <row r="40" ht="45" customHeight="1" spans="1:24">
      <c r="A40" s="3">
        <v>36</v>
      </c>
      <c r="B40" s="4" t="s">
        <v>52</v>
      </c>
      <c r="C40" s="88">
        <f>VLOOKUP(B40,'2加工'!$B$3:$U$47,2,0)</f>
        <v>970</v>
      </c>
      <c r="D40" s="89">
        <f>VLOOKUP(B40,'2加工'!$B$3:$U$48,3,0)</f>
        <v>2</v>
      </c>
      <c r="E40" s="88">
        <f>VLOOKUP(B40,'2加工'!$B$3:$U$48,4,0)</f>
        <v>4.83</v>
      </c>
      <c r="F40" s="90">
        <f>VLOOKUP(B40,'2加工'!$B$3:$U$48,5,0)</f>
        <v>4.83</v>
      </c>
      <c r="G40" s="90">
        <f t="shared" si="13"/>
        <v>0</v>
      </c>
      <c r="H40" s="88">
        <f>VLOOKUP(B40,'2加工'!$B$3:$U$48,7,0)</f>
        <v>800</v>
      </c>
      <c r="I40" s="89">
        <f>VLOOKUP(B40,'2加工'!$B$3:$U$48,8,0)</f>
        <v>1</v>
      </c>
      <c r="J40" s="88">
        <f>VLOOKUP(B40,'2加工'!$B$3:$U$48,9,0)</f>
        <v>3.98</v>
      </c>
      <c r="K40" s="90">
        <f>VLOOKUP(B40,'2加工'!$B$3:$U$48,10,0)</f>
        <v>3.98</v>
      </c>
      <c r="L40" s="90">
        <f t="shared" si="14"/>
        <v>0</v>
      </c>
      <c r="M40" s="88">
        <f>VLOOKUP(B40,'2加工'!$B$3:$U$48,12,0)</f>
        <v>0</v>
      </c>
      <c r="N40" s="89">
        <f>VLOOKUP(B40,'2加工'!$B$3:$U$48,13,0)</f>
        <v>0</v>
      </c>
      <c r="O40" s="88">
        <f>VLOOKUP(B40,'2加工'!$B$3:$U$48,14,0)</f>
        <v>0</v>
      </c>
      <c r="P40" s="106">
        <f t="shared" si="0"/>
        <v>500</v>
      </c>
      <c r="Q40" s="90">
        <f>VLOOKUP(B40,'2加工'!$B$3:$U$48,16,0)</f>
        <v>0</v>
      </c>
      <c r="R40" s="90">
        <f t="shared" si="15"/>
        <v>0</v>
      </c>
      <c r="S40" s="93">
        <f t="shared" si="16"/>
        <v>8.81</v>
      </c>
      <c r="T40" s="90">
        <f t="shared" si="17"/>
        <v>8.81</v>
      </c>
      <c r="U40" s="90">
        <f t="shared" si="18"/>
        <v>0</v>
      </c>
      <c r="V40" s="3"/>
      <c r="W40" s="88">
        <v>0</v>
      </c>
      <c r="X40" s="88">
        <v>500</v>
      </c>
    </row>
    <row r="41" ht="45" customHeight="1" spans="1:24">
      <c r="A41" s="3">
        <v>37</v>
      </c>
      <c r="B41" s="4" t="s">
        <v>53</v>
      </c>
      <c r="C41" s="88">
        <f>VLOOKUP(B41,'2加工'!$B$3:$U$47,2,0)</f>
        <v>4500.6</v>
      </c>
      <c r="D41" s="89">
        <f>VLOOKUP(B41,'2加工'!$B$3:$U$48,3,0)</f>
        <v>12</v>
      </c>
      <c r="E41" s="88">
        <f>VLOOKUP(B41,'2加工'!$B$3:$U$48,4,0)</f>
        <v>19.64</v>
      </c>
      <c r="F41" s="90">
        <f>VLOOKUP(B41,'2加工'!$B$3:$U$48,5,0)</f>
        <v>19.64</v>
      </c>
      <c r="G41" s="90">
        <f t="shared" si="13"/>
        <v>0</v>
      </c>
      <c r="H41" s="88">
        <f>VLOOKUP(B41,'2加工'!$B$3:$U$48,7,0)</f>
        <v>5150</v>
      </c>
      <c r="I41" s="89">
        <f>VLOOKUP(B41,'2加工'!$B$3:$U$48,8,0)</f>
        <v>7</v>
      </c>
      <c r="J41" s="88">
        <f>VLOOKUP(B41,'2加工'!$B$3:$U$48,9,0)</f>
        <v>25.71</v>
      </c>
      <c r="K41" s="90">
        <f>VLOOKUP(B41,'2加工'!$B$3:$U$48,10,0)</f>
        <v>19.71</v>
      </c>
      <c r="L41" s="90">
        <f t="shared" si="14"/>
        <v>6</v>
      </c>
      <c r="M41" s="88">
        <f>VLOOKUP(B41,'2加工'!$B$3:$U$48,12,0)</f>
        <v>0</v>
      </c>
      <c r="N41" s="89">
        <f>VLOOKUP(B41,'2加工'!$B$3:$U$48,13,0)</f>
        <v>0</v>
      </c>
      <c r="O41" s="88">
        <f>VLOOKUP(B41,'2加工'!$B$3:$U$48,14,0)</f>
        <v>0</v>
      </c>
      <c r="P41" s="106">
        <f t="shared" si="0"/>
        <v>500</v>
      </c>
      <c r="Q41" s="90">
        <f>VLOOKUP(B41,'2加工'!$B$3:$U$48,16,0)</f>
        <v>0</v>
      </c>
      <c r="R41" s="90">
        <f t="shared" si="15"/>
        <v>0</v>
      </c>
      <c r="S41" s="93">
        <f t="shared" si="16"/>
        <v>45.35</v>
      </c>
      <c r="T41" s="90">
        <f t="shared" si="17"/>
        <v>39.35</v>
      </c>
      <c r="U41" s="90">
        <f t="shared" si="18"/>
        <v>6</v>
      </c>
      <c r="V41" s="3"/>
      <c r="W41" s="88">
        <v>0</v>
      </c>
      <c r="X41" s="88">
        <v>500</v>
      </c>
    </row>
    <row r="42" ht="45" customHeight="1" spans="1:24">
      <c r="A42" s="3">
        <v>38</v>
      </c>
      <c r="B42" s="4" t="s">
        <v>54</v>
      </c>
      <c r="C42" s="88">
        <f>VLOOKUP(B42,'2加工'!$B$3:$U$47,2,0)</f>
        <v>7142</v>
      </c>
      <c r="D42" s="89">
        <f>VLOOKUP(B42,'2加工'!$B$3:$U$48,3,0)</f>
        <v>25</v>
      </c>
      <c r="E42" s="88">
        <f>VLOOKUP(B42,'2加工'!$B$3:$U$48,4,0)</f>
        <v>34.19</v>
      </c>
      <c r="F42" s="90">
        <f>VLOOKUP(B42,'2加工'!$B$3:$U$48,5,0)</f>
        <v>25.66</v>
      </c>
      <c r="G42" s="90">
        <f t="shared" si="13"/>
        <v>8.53</v>
      </c>
      <c r="H42" s="88">
        <f>VLOOKUP(B42,'2加工'!$B$3:$U$48,7,0)</f>
        <v>3400</v>
      </c>
      <c r="I42" s="89">
        <f>VLOOKUP(B42,'2加工'!$B$3:$U$48,8,0)</f>
        <v>4</v>
      </c>
      <c r="J42" s="88">
        <f>VLOOKUP(B42,'2加工'!$B$3:$U$48,9,0)</f>
        <v>16.95</v>
      </c>
      <c r="K42" s="90">
        <f>VLOOKUP(B42,'2加工'!$B$3:$U$48,10,0)</f>
        <v>16.95</v>
      </c>
      <c r="L42" s="90">
        <f t="shared" si="14"/>
        <v>0</v>
      </c>
      <c r="M42" s="88">
        <f>VLOOKUP(B42,'2加工'!$B$3:$U$48,12,0)</f>
        <v>83042.89</v>
      </c>
      <c r="N42" s="89">
        <f>VLOOKUP(B42,'2加工'!$B$3:$U$48,13,0)</f>
        <v>621</v>
      </c>
      <c r="O42" s="88">
        <f>VLOOKUP(B42,'2加工'!$B$3:$U$48,14,0)</f>
        <v>165.4</v>
      </c>
      <c r="P42" s="106">
        <f t="shared" si="0"/>
        <v>334.6</v>
      </c>
      <c r="Q42" s="90">
        <f>VLOOKUP(B42,'2加工'!$B$3:$U$48,16,0)</f>
        <v>165.4</v>
      </c>
      <c r="R42" s="90">
        <f t="shared" si="15"/>
        <v>0</v>
      </c>
      <c r="S42" s="93">
        <f t="shared" si="16"/>
        <v>216.54</v>
      </c>
      <c r="T42" s="90">
        <f t="shared" si="17"/>
        <v>208.01</v>
      </c>
      <c r="U42" s="90">
        <f t="shared" si="18"/>
        <v>8.53</v>
      </c>
      <c r="V42" s="3"/>
      <c r="W42" s="88">
        <v>165.4</v>
      </c>
      <c r="X42" s="88">
        <v>334.6</v>
      </c>
    </row>
    <row r="43" ht="37" customHeight="1" spans="1:24">
      <c r="A43" s="3">
        <v>39</v>
      </c>
      <c r="B43" s="4" t="s">
        <v>55</v>
      </c>
      <c r="C43" s="88" t="s">
        <v>87</v>
      </c>
      <c r="D43" s="89" t="s">
        <v>87</v>
      </c>
      <c r="E43" s="88" t="s">
        <v>87</v>
      </c>
      <c r="F43" s="90" t="s">
        <v>87</v>
      </c>
      <c r="G43" s="90" t="s">
        <v>87</v>
      </c>
      <c r="H43" s="88" t="s">
        <v>87</v>
      </c>
      <c r="I43" s="89" t="s">
        <v>87</v>
      </c>
      <c r="J43" s="88" t="s">
        <v>87</v>
      </c>
      <c r="K43" s="90" t="s">
        <v>87</v>
      </c>
      <c r="L43" s="90" t="s">
        <v>87</v>
      </c>
      <c r="M43" s="88" t="s">
        <v>87</v>
      </c>
      <c r="N43" s="89" t="s">
        <v>87</v>
      </c>
      <c r="O43" s="88" t="s">
        <v>87</v>
      </c>
      <c r="P43" s="106">
        <f t="shared" si="0"/>
        <v>500</v>
      </c>
      <c r="Q43" s="90">
        <v>0</v>
      </c>
      <c r="R43" s="90" t="s">
        <v>87</v>
      </c>
      <c r="S43" s="93" t="s">
        <v>87</v>
      </c>
      <c r="T43" s="90" t="s">
        <v>87</v>
      </c>
      <c r="U43" s="90" t="s">
        <v>87</v>
      </c>
      <c r="V43" s="3"/>
      <c r="W43" s="88">
        <v>0</v>
      </c>
      <c r="X43" s="88">
        <v>500</v>
      </c>
    </row>
    <row r="44" ht="45" customHeight="1" spans="1:24">
      <c r="A44" s="3">
        <v>40</v>
      </c>
      <c r="B44" s="4" t="s">
        <v>56</v>
      </c>
      <c r="C44" s="88">
        <f>VLOOKUP(B44,'2加工'!$B$3:$U$47,2,0)</f>
        <v>11585</v>
      </c>
      <c r="D44" s="89">
        <f>VLOOKUP(B44,'2加工'!$B$3:$U$48,3,0)</f>
        <v>105</v>
      </c>
      <c r="E44" s="88">
        <f>VLOOKUP(B44,'2加工'!$B$3:$U$48,4,0)</f>
        <v>57.9</v>
      </c>
      <c r="F44" s="90">
        <f>VLOOKUP(B44,'2加工'!$B$3:$U$48,5,0)</f>
        <v>57.8</v>
      </c>
      <c r="G44" s="90">
        <f>E44-F44</f>
        <v>0.100000000000001</v>
      </c>
      <c r="H44" s="88">
        <f>VLOOKUP(B44,'2加工'!$B$3:$U$48,7,0)</f>
        <v>0</v>
      </c>
      <c r="I44" s="89">
        <f>VLOOKUP(B44,'2加工'!$B$3:$U$48,8,0)</f>
        <v>0</v>
      </c>
      <c r="J44" s="88">
        <f>VLOOKUP(B44,'2加工'!$B$3:$U$48,9,0)</f>
        <v>0</v>
      </c>
      <c r="K44" s="90">
        <f>VLOOKUP(B44,'2加工'!$B$3:$U$48,10,0)</f>
        <v>0</v>
      </c>
      <c r="L44" s="90">
        <f>J44-K44</f>
        <v>0</v>
      </c>
      <c r="M44" s="88">
        <f>VLOOKUP(B44,'2加工'!$B$3:$U$48,12,0)</f>
        <v>0</v>
      </c>
      <c r="N44" s="89">
        <f>VLOOKUP(B44,'2加工'!$B$3:$U$48,13,0)</f>
        <v>0</v>
      </c>
      <c r="O44" s="88">
        <f>VLOOKUP(B44,'2加工'!$B$3:$U$48,14,0)</f>
        <v>0</v>
      </c>
      <c r="P44" s="106">
        <f t="shared" si="0"/>
        <v>500</v>
      </c>
      <c r="Q44" s="90">
        <f>VLOOKUP(B44,'2加工'!$B$3:$U$48,16,0)</f>
        <v>0</v>
      </c>
      <c r="R44" s="90">
        <f>+O44-Q44</f>
        <v>0</v>
      </c>
      <c r="S44" s="93">
        <f>SUM(E44,J44,O44)</f>
        <v>57.9</v>
      </c>
      <c r="T44" s="90">
        <f>SUM(F44,K44,Q44)</f>
        <v>57.8</v>
      </c>
      <c r="U44" s="90">
        <f>SUM(G44,L44,R44)</f>
        <v>0.100000000000001</v>
      </c>
      <c r="V44" s="3"/>
      <c r="W44" s="88">
        <v>0</v>
      </c>
      <c r="X44" s="88">
        <v>500</v>
      </c>
    </row>
    <row r="45" ht="45" customHeight="1" spans="1:24">
      <c r="A45" s="3">
        <v>41</v>
      </c>
      <c r="B45" s="4" t="s">
        <v>57</v>
      </c>
      <c r="C45" s="88">
        <f>VLOOKUP(B45,'2加工'!$B$3:$U$47,2,0)</f>
        <v>4208.84</v>
      </c>
      <c r="D45" s="89">
        <f>VLOOKUP(B45,'2加工'!$B$3:$U$48,3,0)</f>
        <v>48</v>
      </c>
      <c r="E45" s="88">
        <f>VLOOKUP(B45,'2加工'!$B$3:$U$48,4,0)</f>
        <v>19.9</v>
      </c>
      <c r="F45" s="90">
        <f>VLOOKUP(B45,'2加工'!$B$3:$U$48,5,0)</f>
        <v>19.9</v>
      </c>
      <c r="G45" s="90">
        <f>E45-F45</f>
        <v>0</v>
      </c>
      <c r="H45" s="88">
        <f>VLOOKUP(B45,'2加工'!$B$3:$U$48,7,0)</f>
        <v>1000</v>
      </c>
      <c r="I45" s="89">
        <f>VLOOKUP(B45,'2加工'!$B$3:$U$48,8,0)</f>
        <v>1</v>
      </c>
      <c r="J45" s="88">
        <f>VLOOKUP(B45,'2加工'!$B$3:$U$48,9,0)</f>
        <v>4.99</v>
      </c>
      <c r="K45" s="90">
        <f>VLOOKUP(B45,'2加工'!$B$3:$U$48,10,0)</f>
        <v>4.99</v>
      </c>
      <c r="L45" s="90">
        <f>J45-K45</f>
        <v>0</v>
      </c>
      <c r="M45" s="88">
        <f>VLOOKUP(B45,'2加工'!$B$3:$U$48,12,0)</f>
        <v>0</v>
      </c>
      <c r="N45" s="89">
        <f>VLOOKUP(B45,'2加工'!$B$3:$U$48,13,0)</f>
        <v>0</v>
      </c>
      <c r="O45" s="88">
        <f>VLOOKUP(B45,'2加工'!$B$3:$U$48,14,0)</f>
        <v>0</v>
      </c>
      <c r="P45" s="106">
        <f t="shared" si="0"/>
        <v>500</v>
      </c>
      <c r="Q45" s="90">
        <f>VLOOKUP(B45,'2加工'!$B$3:$U$48,16,0)</f>
        <v>0</v>
      </c>
      <c r="R45" s="90">
        <f>+O45-Q45</f>
        <v>0</v>
      </c>
      <c r="S45" s="93">
        <f>SUM(E45,J45,O45)</f>
        <v>24.89</v>
      </c>
      <c r="T45" s="90">
        <f>SUM(F45,K45,Q45)</f>
        <v>24.89</v>
      </c>
      <c r="U45" s="90">
        <f>SUM(G45,L45,R45)</f>
        <v>0</v>
      </c>
      <c r="V45" s="3"/>
      <c r="W45" s="88">
        <v>0</v>
      </c>
      <c r="X45" s="88">
        <v>500</v>
      </c>
    </row>
    <row r="46" ht="45" customHeight="1" spans="1:24">
      <c r="A46" s="3">
        <v>42</v>
      </c>
      <c r="B46" s="4" t="s">
        <v>58</v>
      </c>
      <c r="C46" s="88">
        <f>VLOOKUP(B46,'2加工'!$B$3:$U$47,2,0)</f>
        <v>6144</v>
      </c>
      <c r="D46" s="89">
        <f>VLOOKUP(B46,'2加工'!$B$3:$U$48,3,0)</f>
        <v>30</v>
      </c>
      <c r="E46" s="88">
        <f>VLOOKUP(B46,'2加工'!$B$3:$U$48,4,0)</f>
        <v>30.72</v>
      </c>
      <c r="F46" s="90">
        <f>VLOOKUP(B46,'2加工'!$B$3:$U$48,5,0)</f>
        <v>30.72</v>
      </c>
      <c r="G46" s="90">
        <f>E46-F46</f>
        <v>0</v>
      </c>
      <c r="H46" s="88">
        <f>VLOOKUP(B46,'2加工'!$B$3:$U$48,7,0)</f>
        <v>3899</v>
      </c>
      <c r="I46" s="89">
        <f>VLOOKUP(B46,'2加工'!$B$3:$U$48,8,0)</f>
        <v>4</v>
      </c>
      <c r="J46" s="88">
        <f>VLOOKUP(B46,'2加工'!$B$3:$U$48,9,0)</f>
        <v>19.5</v>
      </c>
      <c r="K46" s="90">
        <f>VLOOKUP(B46,'2加工'!$B$3:$U$48,10,0)</f>
        <v>19.5</v>
      </c>
      <c r="L46" s="90">
        <f>J46-K46</f>
        <v>0</v>
      </c>
      <c r="M46" s="88">
        <f>VLOOKUP(B46,'2加工'!$B$3:$U$48,12,0)</f>
        <v>1501</v>
      </c>
      <c r="N46" s="89">
        <f>VLOOKUP(B46,'2加工'!$B$3:$U$48,13,0)</f>
        <v>5</v>
      </c>
      <c r="O46" s="88">
        <f>VLOOKUP(B46,'2加工'!$B$3:$U$48,14,0)</f>
        <v>3</v>
      </c>
      <c r="P46" s="106">
        <f t="shared" si="0"/>
        <v>497</v>
      </c>
      <c r="Q46" s="90">
        <f>VLOOKUP(B46,'2加工'!$B$3:$U$48,16,0)</f>
        <v>3</v>
      </c>
      <c r="R46" s="90">
        <f>+O46-Q46</f>
        <v>0</v>
      </c>
      <c r="S46" s="93">
        <f>SUM(E46,J46,O46)</f>
        <v>53.22</v>
      </c>
      <c r="T46" s="90">
        <f>SUM(F46,K46,Q46)</f>
        <v>53.22</v>
      </c>
      <c r="U46" s="90">
        <f>SUM(G46,L46,R46)</f>
        <v>0</v>
      </c>
      <c r="V46" s="3"/>
      <c r="W46" s="88">
        <v>3</v>
      </c>
      <c r="X46" s="88">
        <v>497</v>
      </c>
    </row>
    <row r="47" ht="41" customHeight="1" spans="1:24">
      <c r="A47" s="3">
        <v>43</v>
      </c>
      <c r="B47" s="4" t="s">
        <v>59</v>
      </c>
      <c r="C47" s="88" t="s">
        <v>87</v>
      </c>
      <c r="D47" s="89" t="s">
        <v>87</v>
      </c>
      <c r="E47" s="88" t="s">
        <v>87</v>
      </c>
      <c r="F47" s="90" t="s">
        <v>87</v>
      </c>
      <c r="G47" s="90" t="s">
        <v>87</v>
      </c>
      <c r="H47" s="88" t="s">
        <v>87</v>
      </c>
      <c r="I47" s="89" t="s">
        <v>87</v>
      </c>
      <c r="J47" s="88" t="s">
        <v>87</v>
      </c>
      <c r="K47" s="90" t="s">
        <v>87</v>
      </c>
      <c r="L47" s="90" t="s">
        <v>87</v>
      </c>
      <c r="M47" s="88" t="s">
        <v>87</v>
      </c>
      <c r="N47" s="89" t="s">
        <v>87</v>
      </c>
      <c r="O47" s="88" t="s">
        <v>87</v>
      </c>
      <c r="P47" s="106">
        <f t="shared" si="0"/>
        <v>500</v>
      </c>
      <c r="Q47" s="90">
        <v>0</v>
      </c>
      <c r="R47" s="90" t="s">
        <v>87</v>
      </c>
      <c r="S47" s="93" t="s">
        <v>87</v>
      </c>
      <c r="T47" s="90" t="s">
        <v>87</v>
      </c>
      <c r="U47" s="90" t="s">
        <v>87</v>
      </c>
      <c r="V47" s="3"/>
      <c r="W47" s="88">
        <v>0</v>
      </c>
      <c r="X47" s="88">
        <v>500</v>
      </c>
    </row>
    <row r="48" ht="45" customHeight="1" spans="1:24">
      <c r="A48" s="3">
        <v>44</v>
      </c>
      <c r="B48" s="4" t="s">
        <v>60</v>
      </c>
      <c r="C48" s="88">
        <f>VLOOKUP(B48,'2加工'!$B$3:$U$47,2,0)</f>
        <v>14842</v>
      </c>
      <c r="D48" s="89">
        <f>VLOOKUP(B48,'2加工'!$B$3:$U$48,3,0)</f>
        <v>77</v>
      </c>
      <c r="E48" s="88">
        <f>VLOOKUP(B48,'2加工'!$B$3:$U$48,4,0)</f>
        <v>74.06</v>
      </c>
      <c r="F48" s="90">
        <f>VLOOKUP(B48,'2加工'!$B$3:$U$48,5,0)</f>
        <v>74.06</v>
      </c>
      <c r="G48" s="90">
        <f>E48-F48</f>
        <v>0</v>
      </c>
      <c r="H48" s="88">
        <f>VLOOKUP(B48,'2加工'!$B$3:$U$48,7,0)</f>
        <v>3500</v>
      </c>
      <c r="I48" s="89">
        <f>VLOOKUP(B48,'2加工'!$B$3:$U$48,8,0)</f>
        <v>4</v>
      </c>
      <c r="J48" s="88">
        <f>VLOOKUP(B48,'2加工'!$B$3:$U$48,9,0)</f>
        <v>17.5</v>
      </c>
      <c r="K48" s="90">
        <f>VLOOKUP(B48,'2加工'!$B$3:$U$48,10,0)</f>
        <v>17.5</v>
      </c>
      <c r="L48" s="90">
        <f>J48-K48</f>
        <v>0</v>
      </c>
      <c r="M48" s="88">
        <f>VLOOKUP(B48,'2加工'!$B$3:$U$48,12,0)</f>
        <v>0</v>
      </c>
      <c r="N48" s="89">
        <f>VLOOKUP(B48,'2加工'!$B$3:$U$48,13,0)</f>
        <v>0</v>
      </c>
      <c r="O48" s="88">
        <f>VLOOKUP(B48,'2加工'!$B$3:$U$48,14,0)</f>
        <v>0</v>
      </c>
      <c r="P48" s="106">
        <f t="shared" si="0"/>
        <v>500</v>
      </c>
      <c r="Q48" s="90">
        <f>VLOOKUP(B48,'2加工'!$B$3:$U$48,16,0)</f>
        <v>0</v>
      </c>
      <c r="R48" s="90">
        <f>+O48-Q48</f>
        <v>0</v>
      </c>
      <c r="S48" s="93">
        <f>SUM(E48,J48,O48)</f>
        <v>91.56</v>
      </c>
      <c r="T48" s="90">
        <f>SUM(F48,K48,Q48)</f>
        <v>91.56</v>
      </c>
      <c r="U48" s="90">
        <f>SUM(G48,L48,R48)</f>
        <v>0</v>
      </c>
      <c r="V48" s="3"/>
      <c r="W48" s="88">
        <v>0</v>
      </c>
      <c r="X48" s="88">
        <v>500</v>
      </c>
    </row>
    <row r="49" ht="45" customHeight="1" spans="1:24">
      <c r="A49" s="3">
        <v>45</v>
      </c>
      <c r="B49" s="4" t="s">
        <v>61</v>
      </c>
      <c r="C49" s="88">
        <f>VLOOKUP(B49,'2加工'!$B$3:$U$47,2,0)</f>
        <v>1880</v>
      </c>
      <c r="D49" s="89">
        <f>VLOOKUP(B49,'2加工'!$B$3:$U$48,3,0)</f>
        <v>5</v>
      </c>
      <c r="E49" s="88">
        <f>VLOOKUP(B49,'2加工'!$B$3:$U$48,4,0)</f>
        <v>9.4</v>
      </c>
      <c r="F49" s="90">
        <f>VLOOKUP(B49,'2加工'!$B$3:$U$48,5,0)</f>
        <v>4.9</v>
      </c>
      <c r="G49" s="90">
        <f>E49-F49</f>
        <v>4.5</v>
      </c>
      <c r="H49" s="88">
        <f>VLOOKUP(B49,'2加工'!$B$3:$U$48,7,0)</f>
        <v>2350</v>
      </c>
      <c r="I49" s="89">
        <f>VLOOKUP(B49,'2加工'!$B$3:$U$48,8,0)</f>
        <v>3</v>
      </c>
      <c r="J49" s="88">
        <f>VLOOKUP(B49,'2加工'!$B$3:$U$48,9,0)</f>
        <v>11.75</v>
      </c>
      <c r="K49" s="90">
        <f>VLOOKUP(B49,'2加工'!$B$3:$U$48,10,0)</f>
        <v>4</v>
      </c>
      <c r="L49" s="90">
        <f>J49-K49</f>
        <v>7.75</v>
      </c>
      <c r="M49" s="88">
        <f>VLOOKUP(B49,'2加工'!$B$3:$U$48,12,0)</f>
        <v>0</v>
      </c>
      <c r="N49" s="89">
        <f>VLOOKUP(B49,'2加工'!$B$3:$U$48,13,0)</f>
        <v>0</v>
      </c>
      <c r="O49" s="88">
        <f>VLOOKUP(B49,'2加工'!$B$3:$U$48,14,0)</f>
        <v>0</v>
      </c>
      <c r="P49" s="106">
        <f t="shared" si="0"/>
        <v>500</v>
      </c>
      <c r="Q49" s="90">
        <f>VLOOKUP(B49,'2加工'!$B$3:$U$48,16,0)</f>
        <v>0</v>
      </c>
      <c r="R49" s="90">
        <f>+O49-Q49</f>
        <v>0</v>
      </c>
      <c r="S49" s="93">
        <f>SUM(E49,J49,O49)</f>
        <v>21.15</v>
      </c>
      <c r="T49" s="90">
        <f>SUM(F49,K49,Q49)</f>
        <v>8.9</v>
      </c>
      <c r="U49" s="90">
        <f>SUM(G49,L49,R49)</f>
        <v>12.25</v>
      </c>
      <c r="V49" s="3"/>
      <c r="W49" s="88">
        <v>0</v>
      </c>
      <c r="X49" s="88">
        <v>500</v>
      </c>
    </row>
    <row r="50" ht="45" customHeight="1" spans="1:24">
      <c r="A50" s="3">
        <v>46</v>
      </c>
      <c r="B50" s="4" t="s">
        <v>62</v>
      </c>
      <c r="C50" s="88">
        <f>VLOOKUP(B50,'2加工'!$B$3:$U$47,2,0)</f>
        <v>6708</v>
      </c>
      <c r="D50" s="89">
        <f>VLOOKUP(B50,'2加工'!$B$3:$U$48,3,0)</f>
        <v>34</v>
      </c>
      <c r="E50" s="88">
        <f>VLOOKUP(B50,'2加工'!$B$3:$U$48,4,0)</f>
        <v>33.45</v>
      </c>
      <c r="F50" s="90">
        <f>VLOOKUP(B50,'2加工'!$B$3:$U$48,5,0)</f>
        <v>32.56</v>
      </c>
      <c r="G50" s="90">
        <f>E50-F50</f>
        <v>0.890000000000001</v>
      </c>
      <c r="H50" s="88">
        <f>VLOOKUP(B50,'2加工'!$B$3:$U$48,7,0)</f>
        <v>0</v>
      </c>
      <c r="I50" s="89">
        <f>VLOOKUP(B50,'2加工'!$B$3:$U$48,8,0)</f>
        <v>0</v>
      </c>
      <c r="J50" s="88">
        <f>VLOOKUP(B50,'2加工'!$B$3:$U$48,9,0)</f>
        <v>0</v>
      </c>
      <c r="K50" s="90">
        <f>VLOOKUP(B50,'2加工'!$B$3:$U$48,10,0)</f>
        <v>0</v>
      </c>
      <c r="L50" s="90">
        <f>J50-K50</f>
        <v>0</v>
      </c>
      <c r="M50" s="88">
        <f>VLOOKUP(B50,'2加工'!$B$3:$U$48,12,0)</f>
        <v>56852.1</v>
      </c>
      <c r="N50" s="89">
        <f>VLOOKUP(B50,'2加工'!$B$3:$U$48,13,0)</f>
        <v>402</v>
      </c>
      <c r="O50" s="88">
        <f>VLOOKUP(B50,'2加工'!$B$3:$U$48,14,0)</f>
        <v>112.81</v>
      </c>
      <c r="P50" s="106">
        <f t="shared" si="0"/>
        <v>387.19</v>
      </c>
      <c r="Q50" s="90">
        <f>VLOOKUP(B50,'2加工'!$B$3:$U$48,16,0)</f>
        <v>112.81</v>
      </c>
      <c r="R50" s="90">
        <f>+O50-Q50</f>
        <v>0</v>
      </c>
      <c r="S50" s="93">
        <f>SUM(E50,J50,O50)</f>
        <v>146.26</v>
      </c>
      <c r="T50" s="90">
        <f>SUM(F50,K50,Q50)</f>
        <v>145.37</v>
      </c>
      <c r="U50" s="90">
        <f>SUM(G50,L50,R50)</f>
        <v>0.890000000000001</v>
      </c>
      <c r="V50" s="3"/>
      <c r="W50" s="88">
        <v>112.81</v>
      </c>
      <c r="X50" s="88">
        <v>387.19</v>
      </c>
    </row>
    <row r="51" ht="41" customHeight="1" spans="1:24">
      <c r="A51" s="3">
        <v>47</v>
      </c>
      <c r="B51" s="4" t="s">
        <v>63</v>
      </c>
      <c r="C51" s="88" t="s">
        <v>87</v>
      </c>
      <c r="D51" s="89" t="s">
        <v>87</v>
      </c>
      <c r="E51" s="88" t="s">
        <v>87</v>
      </c>
      <c r="F51" s="90" t="s">
        <v>87</v>
      </c>
      <c r="G51" s="90" t="s">
        <v>87</v>
      </c>
      <c r="H51" s="88" t="s">
        <v>87</v>
      </c>
      <c r="I51" s="89" t="s">
        <v>87</v>
      </c>
      <c r="J51" s="88" t="s">
        <v>87</v>
      </c>
      <c r="K51" s="90" t="s">
        <v>87</v>
      </c>
      <c r="L51" s="90" t="s">
        <v>87</v>
      </c>
      <c r="M51" s="88" t="s">
        <v>87</v>
      </c>
      <c r="N51" s="89" t="s">
        <v>87</v>
      </c>
      <c r="O51" s="88" t="s">
        <v>87</v>
      </c>
      <c r="P51" s="106">
        <f t="shared" si="0"/>
        <v>500</v>
      </c>
      <c r="Q51" s="90">
        <v>0</v>
      </c>
      <c r="R51" s="90" t="s">
        <v>87</v>
      </c>
      <c r="S51" s="93" t="s">
        <v>87</v>
      </c>
      <c r="T51" s="90" t="s">
        <v>87</v>
      </c>
      <c r="U51" s="90" t="s">
        <v>87</v>
      </c>
      <c r="V51" s="3"/>
      <c r="W51" s="88">
        <v>0</v>
      </c>
      <c r="X51" s="88">
        <v>500</v>
      </c>
    </row>
    <row r="52" ht="41" customHeight="1" spans="1:24">
      <c r="A52" s="3">
        <v>48</v>
      </c>
      <c r="B52" s="4" t="s">
        <v>64</v>
      </c>
      <c r="C52" s="88" t="s">
        <v>87</v>
      </c>
      <c r="D52" s="89" t="s">
        <v>87</v>
      </c>
      <c r="E52" s="88" t="s">
        <v>87</v>
      </c>
      <c r="F52" s="90" t="s">
        <v>87</v>
      </c>
      <c r="G52" s="90" t="s">
        <v>87</v>
      </c>
      <c r="H52" s="88" t="s">
        <v>87</v>
      </c>
      <c r="I52" s="89" t="s">
        <v>87</v>
      </c>
      <c r="J52" s="88" t="s">
        <v>87</v>
      </c>
      <c r="K52" s="90" t="s">
        <v>87</v>
      </c>
      <c r="L52" s="90" t="s">
        <v>87</v>
      </c>
      <c r="M52" s="88" t="s">
        <v>87</v>
      </c>
      <c r="N52" s="89" t="s">
        <v>87</v>
      </c>
      <c r="O52" s="88" t="s">
        <v>87</v>
      </c>
      <c r="P52" s="106">
        <f t="shared" si="0"/>
        <v>500</v>
      </c>
      <c r="Q52" s="90">
        <v>0</v>
      </c>
      <c r="R52" s="90" t="s">
        <v>87</v>
      </c>
      <c r="S52" s="93" t="s">
        <v>87</v>
      </c>
      <c r="T52" s="90" t="s">
        <v>87</v>
      </c>
      <c r="U52" s="90" t="s">
        <v>87</v>
      </c>
      <c r="V52" s="3"/>
      <c r="W52" s="88">
        <v>0</v>
      </c>
      <c r="X52" s="88">
        <v>500</v>
      </c>
    </row>
    <row r="53" ht="45" customHeight="1" spans="1:24">
      <c r="A53" s="3">
        <v>49</v>
      </c>
      <c r="B53" s="4" t="s">
        <v>65</v>
      </c>
      <c r="C53" s="88">
        <f>VLOOKUP(B53,'2加工'!$B$3:$U$47,2,0)</f>
        <v>650</v>
      </c>
      <c r="D53" s="89">
        <f>VLOOKUP(B53,'2加工'!$B$3:$U$48,3,0)</f>
        <v>2</v>
      </c>
      <c r="E53" s="88">
        <f>VLOOKUP(B53,'2加工'!$B$3:$U$48,4,0)</f>
        <v>3.02</v>
      </c>
      <c r="F53" s="90">
        <f>VLOOKUP(B53,'2加工'!$B$3:$U$48,5,0)</f>
        <v>3.02</v>
      </c>
      <c r="G53" s="90">
        <f>E53-F53</f>
        <v>0</v>
      </c>
      <c r="H53" s="88">
        <f>VLOOKUP(B53,'2加工'!$B$3:$U$48,7,0)</f>
        <v>0</v>
      </c>
      <c r="I53" s="89">
        <f>VLOOKUP(B53,'2加工'!$B$3:$U$48,8,0)</f>
        <v>0</v>
      </c>
      <c r="J53" s="88">
        <f>VLOOKUP(B53,'2加工'!$B$3:$U$48,9,0)</f>
        <v>0</v>
      </c>
      <c r="K53" s="90">
        <f>VLOOKUP(B53,'2加工'!$B$3:$U$48,10,0)</f>
        <v>0</v>
      </c>
      <c r="L53" s="90">
        <f>J53-K53</f>
        <v>0</v>
      </c>
      <c r="M53" s="88">
        <f>VLOOKUP(B53,'2加工'!$B$3:$U$48,12,0)</f>
        <v>0</v>
      </c>
      <c r="N53" s="89">
        <f>VLOOKUP(B53,'2加工'!$B$3:$U$48,13,0)</f>
        <v>0</v>
      </c>
      <c r="O53" s="88">
        <f>VLOOKUP(B53,'2加工'!$B$3:$U$48,14,0)</f>
        <v>0</v>
      </c>
      <c r="P53" s="106">
        <f t="shared" si="0"/>
        <v>500</v>
      </c>
      <c r="Q53" s="90">
        <f>VLOOKUP(B53,'2加工'!$B$3:$U$48,16,0)</f>
        <v>0</v>
      </c>
      <c r="R53" s="90">
        <f>+O53-Q53</f>
        <v>0</v>
      </c>
      <c r="S53" s="93">
        <f>SUM(E53,J53,O53)</f>
        <v>3.02</v>
      </c>
      <c r="T53" s="90">
        <f>SUM(F53,K53,Q53)</f>
        <v>3.02</v>
      </c>
      <c r="U53" s="90">
        <f>SUM(G53,L53,R53)</f>
        <v>0</v>
      </c>
      <c r="V53" s="3"/>
      <c r="W53" s="88">
        <v>0</v>
      </c>
      <c r="X53" s="88">
        <v>500</v>
      </c>
    </row>
    <row r="54" ht="45" customHeight="1" spans="1:24">
      <c r="A54" s="3">
        <v>50</v>
      </c>
      <c r="B54" s="4" t="s">
        <v>66</v>
      </c>
      <c r="C54" s="88">
        <f>VLOOKUP(B54,'2加工'!$B$3:$U$47,2,0)</f>
        <v>6267.32</v>
      </c>
      <c r="D54" s="89">
        <f>VLOOKUP(B54,'2加工'!$B$3:$U$48,3,0)</f>
        <v>31</v>
      </c>
      <c r="E54" s="88">
        <f>VLOOKUP(B54,'2加工'!$B$3:$U$48,4,0)</f>
        <v>30.96</v>
      </c>
      <c r="F54" s="90">
        <f>VLOOKUP(B54,'2加工'!$B$3:$U$48,5,0)</f>
        <v>30.96</v>
      </c>
      <c r="G54" s="90">
        <f>E54-F54</f>
        <v>0</v>
      </c>
      <c r="H54" s="88">
        <f>VLOOKUP(B54,'2加工'!$B$3:$U$48,7,0)</f>
        <v>8675</v>
      </c>
      <c r="I54" s="89">
        <f>VLOOKUP(B54,'2加工'!$B$3:$U$48,8,0)</f>
        <v>10</v>
      </c>
      <c r="J54" s="88">
        <f>VLOOKUP(B54,'2加工'!$B$3:$U$48,9,0)</f>
        <v>42.63</v>
      </c>
      <c r="K54" s="90">
        <f>VLOOKUP(B54,'2加工'!$B$3:$U$48,10,0)</f>
        <v>42.63</v>
      </c>
      <c r="L54" s="90">
        <f>J54-K54</f>
        <v>0</v>
      </c>
      <c r="M54" s="88">
        <f>VLOOKUP(B54,'2加工'!$B$3:$U$48,12,0)</f>
        <v>13941.5</v>
      </c>
      <c r="N54" s="89">
        <f>VLOOKUP(B54,'2加工'!$B$3:$U$48,13,0)</f>
        <v>87</v>
      </c>
      <c r="O54" s="88">
        <f>VLOOKUP(B54,'2加工'!$B$3:$U$48,14,0)</f>
        <v>26.48</v>
      </c>
      <c r="P54" s="106">
        <f t="shared" si="0"/>
        <v>473.52</v>
      </c>
      <c r="Q54" s="90">
        <f>VLOOKUP(B54,'2加工'!$B$3:$U$48,16,0)</f>
        <v>26.48</v>
      </c>
      <c r="R54" s="90">
        <f>+O54-Q54</f>
        <v>0</v>
      </c>
      <c r="S54" s="93">
        <f>SUM(E54,J54,O54)</f>
        <v>100.07</v>
      </c>
      <c r="T54" s="90">
        <f>SUM(F54,K54,Q54)</f>
        <v>100.07</v>
      </c>
      <c r="U54" s="90">
        <f>SUM(G54,L54,R54)</f>
        <v>0</v>
      </c>
      <c r="V54" s="3"/>
      <c r="W54" s="88">
        <v>26.48</v>
      </c>
      <c r="X54" s="88">
        <v>473.52</v>
      </c>
    </row>
    <row r="55" ht="56" customHeight="1" spans="1:24">
      <c r="A55" s="3">
        <v>51</v>
      </c>
      <c r="B55" s="4" t="s">
        <v>67</v>
      </c>
      <c r="C55" s="88">
        <f>VLOOKUP(B55,'2加工'!$B$3:$U$47,2,0)</f>
        <v>7110</v>
      </c>
      <c r="D55" s="89">
        <f>VLOOKUP(B55,'2加工'!$B$3:$U$48,3,0)</f>
        <v>35</v>
      </c>
      <c r="E55" s="88">
        <f>VLOOKUP(B55,'2加工'!$B$3:$U$48,4,0)</f>
        <v>35.55</v>
      </c>
      <c r="F55" s="90">
        <f>VLOOKUP(B55,'2加工'!$B$3:$U$48,5,0)</f>
        <v>35.55</v>
      </c>
      <c r="G55" s="90">
        <f>E55-F55</f>
        <v>0</v>
      </c>
      <c r="H55" s="88">
        <f>VLOOKUP(B55,'2加工'!$B$3:$U$48,7,0)</f>
        <v>1000</v>
      </c>
      <c r="I55" s="89">
        <f>VLOOKUP(B55,'2加工'!$B$3:$U$48,8,0)</f>
        <v>1</v>
      </c>
      <c r="J55" s="88">
        <f>VLOOKUP(B55,'2加工'!$B$3:$U$48,9,0)</f>
        <v>5</v>
      </c>
      <c r="K55" s="90">
        <f>VLOOKUP(B55,'2加工'!$B$3:$U$48,10,0)</f>
        <v>5</v>
      </c>
      <c r="L55" s="90">
        <f>J55-K55</f>
        <v>0</v>
      </c>
      <c r="M55" s="88">
        <f>VLOOKUP(B55,'2加工'!$B$3:$U$48,12,0)</f>
        <v>0</v>
      </c>
      <c r="N55" s="89">
        <f>VLOOKUP(B55,'2加工'!$B$3:$U$48,13,0)</f>
        <v>0</v>
      </c>
      <c r="O55" s="88">
        <f>VLOOKUP(B55,'2加工'!$B$3:$U$48,14,0)</f>
        <v>0</v>
      </c>
      <c r="P55" s="106">
        <f t="shared" si="0"/>
        <v>500</v>
      </c>
      <c r="Q55" s="90">
        <f>VLOOKUP(B55,'2加工'!$B$3:$U$48,16,0)</f>
        <v>0</v>
      </c>
      <c r="R55" s="90">
        <f>+O55-Q55</f>
        <v>0</v>
      </c>
      <c r="S55" s="93">
        <f>SUM(E55,J55,O55)</f>
        <v>40.55</v>
      </c>
      <c r="T55" s="90">
        <f>SUM(F55,K55,Q55)</f>
        <v>40.55</v>
      </c>
      <c r="U55" s="90">
        <f>SUM(G55,L55,R55)</f>
        <v>0</v>
      </c>
      <c r="V55" s="3"/>
      <c r="W55" s="88">
        <v>0</v>
      </c>
      <c r="X55" s="88">
        <v>500</v>
      </c>
    </row>
    <row r="56" ht="43" customHeight="1" spans="1:24">
      <c r="A56" s="3">
        <v>52</v>
      </c>
      <c r="B56" s="4" t="s">
        <v>68</v>
      </c>
      <c r="C56" s="88" t="s">
        <v>87</v>
      </c>
      <c r="D56" s="89" t="s">
        <v>87</v>
      </c>
      <c r="E56" s="88" t="s">
        <v>87</v>
      </c>
      <c r="F56" s="90" t="s">
        <v>87</v>
      </c>
      <c r="G56" s="90" t="s">
        <v>87</v>
      </c>
      <c r="H56" s="88" t="s">
        <v>87</v>
      </c>
      <c r="I56" s="89" t="s">
        <v>87</v>
      </c>
      <c r="J56" s="88" t="s">
        <v>87</v>
      </c>
      <c r="K56" s="90" t="s">
        <v>87</v>
      </c>
      <c r="L56" s="90" t="s">
        <v>87</v>
      </c>
      <c r="M56" s="88" t="s">
        <v>87</v>
      </c>
      <c r="N56" s="89" t="s">
        <v>87</v>
      </c>
      <c r="O56" s="88" t="s">
        <v>87</v>
      </c>
      <c r="P56" s="106">
        <f t="shared" si="0"/>
        <v>500</v>
      </c>
      <c r="Q56" s="90">
        <v>0</v>
      </c>
      <c r="R56" s="90" t="s">
        <v>87</v>
      </c>
      <c r="S56" s="93" t="s">
        <v>87</v>
      </c>
      <c r="T56" s="90" t="s">
        <v>87</v>
      </c>
      <c r="U56" s="90" t="s">
        <v>87</v>
      </c>
      <c r="V56" s="3"/>
      <c r="W56" s="88">
        <v>0</v>
      </c>
      <c r="X56" s="88">
        <v>500</v>
      </c>
    </row>
    <row r="57" ht="45" customHeight="1" spans="1:24">
      <c r="A57" s="3">
        <v>53</v>
      </c>
      <c r="B57" s="4" t="s">
        <v>69</v>
      </c>
      <c r="C57" s="88">
        <f>VLOOKUP(B57,'2加工'!$B$3:$U$47,2,0)</f>
        <v>1040</v>
      </c>
      <c r="D57" s="89">
        <f>VLOOKUP(B57,'2加工'!$B$3:$U$48,3,0)</f>
        <v>3</v>
      </c>
      <c r="E57" s="88">
        <f>VLOOKUP(B57,'2加工'!$B$3:$U$48,4,0)</f>
        <v>5.2</v>
      </c>
      <c r="F57" s="90">
        <f>VLOOKUP(B57,'2加工'!$B$3:$U$48,5,0)</f>
        <v>5.2</v>
      </c>
      <c r="G57" s="90">
        <f>E57-F57</f>
        <v>0</v>
      </c>
      <c r="H57" s="88">
        <f>VLOOKUP(B57,'2加工'!$B$3:$U$48,7,0)</f>
        <v>0</v>
      </c>
      <c r="I57" s="89">
        <f>VLOOKUP(B57,'2加工'!$B$3:$U$48,8,0)</f>
        <v>0</v>
      </c>
      <c r="J57" s="88">
        <f>VLOOKUP(B57,'2加工'!$B$3:$U$48,9,0)</f>
        <v>0</v>
      </c>
      <c r="K57" s="90">
        <f>VLOOKUP(B57,'2加工'!$B$3:$U$48,10,0)</f>
        <v>0</v>
      </c>
      <c r="L57" s="90">
        <f>J57-K57</f>
        <v>0</v>
      </c>
      <c r="M57" s="88">
        <f>VLOOKUP(B57,'2加工'!$B$3:$U$48,12,0)</f>
        <v>0</v>
      </c>
      <c r="N57" s="89">
        <f>VLOOKUP(B57,'2加工'!$B$3:$U$48,13,0)</f>
        <v>0</v>
      </c>
      <c r="O57" s="88">
        <f>VLOOKUP(B57,'2加工'!$B$3:$U$48,14,0)</f>
        <v>0</v>
      </c>
      <c r="P57" s="106">
        <f t="shared" si="0"/>
        <v>500</v>
      </c>
      <c r="Q57" s="90">
        <f>VLOOKUP(B57,'2加工'!$B$3:$U$48,16,0)</f>
        <v>0</v>
      </c>
      <c r="R57" s="90">
        <f>+O57-Q57</f>
        <v>0</v>
      </c>
      <c r="S57" s="93">
        <f>SUM(E57,J57,O57)</f>
        <v>5.2</v>
      </c>
      <c r="T57" s="90">
        <f>SUM(F57,K57,Q57)</f>
        <v>5.2</v>
      </c>
      <c r="U57" s="90">
        <f>SUM(G57,L57,R57)</f>
        <v>0</v>
      </c>
      <c r="V57" s="3"/>
      <c r="W57" s="88">
        <v>0</v>
      </c>
      <c r="X57" s="88">
        <v>500</v>
      </c>
    </row>
    <row r="58" ht="45" customHeight="1" spans="1:24">
      <c r="A58" s="3">
        <v>54</v>
      </c>
      <c r="B58" s="4" t="s">
        <v>70</v>
      </c>
      <c r="C58" s="88">
        <f>VLOOKUP(B58,'2加工'!$B$3:$U$47,2,0)</f>
        <v>5970</v>
      </c>
      <c r="D58" s="89">
        <f>VLOOKUP(B58,'2加工'!$B$3:$U$48,3,0)</f>
        <v>23</v>
      </c>
      <c r="E58" s="88">
        <f>VLOOKUP(B58,'2加工'!$B$3:$U$48,4,0)</f>
        <v>29.6</v>
      </c>
      <c r="F58" s="90">
        <f>VLOOKUP(B58,'2加工'!$B$3:$U$48,5,0)</f>
        <v>29.6</v>
      </c>
      <c r="G58" s="90">
        <f>E58-F58</f>
        <v>0</v>
      </c>
      <c r="H58" s="88">
        <f>VLOOKUP(B58,'2加工'!$B$3:$U$48,7,0)</f>
        <v>6450</v>
      </c>
      <c r="I58" s="89">
        <f>VLOOKUP(B58,'2加工'!$B$3:$U$48,8,0)</f>
        <v>7</v>
      </c>
      <c r="J58" s="88">
        <f>VLOOKUP(B58,'2加工'!$B$3:$U$48,9,0)</f>
        <v>32</v>
      </c>
      <c r="K58" s="90">
        <f>VLOOKUP(B58,'2加工'!$B$3:$U$48,10,0)</f>
        <v>32</v>
      </c>
      <c r="L58" s="90">
        <f>J58-K58</f>
        <v>0</v>
      </c>
      <c r="M58" s="88">
        <f>VLOOKUP(B58,'2加工'!$B$3:$U$48,12,0)</f>
        <v>13741.6</v>
      </c>
      <c r="N58" s="89">
        <f>VLOOKUP(B58,'2加工'!$B$3:$U$48,13,0)</f>
        <v>88</v>
      </c>
      <c r="O58" s="88">
        <f>VLOOKUP(B58,'2加工'!$B$3:$U$48,14,0)</f>
        <v>27.48</v>
      </c>
      <c r="P58" s="106">
        <f t="shared" si="0"/>
        <v>472.52</v>
      </c>
      <c r="Q58" s="90">
        <f>VLOOKUP(B58,'2加工'!$B$3:$U$48,16,0)</f>
        <v>27.48</v>
      </c>
      <c r="R58" s="90">
        <f>+O58-Q58</f>
        <v>0</v>
      </c>
      <c r="S58" s="93">
        <f>SUM(E58,J58,O58)</f>
        <v>89.08</v>
      </c>
      <c r="T58" s="90">
        <f>SUM(F58,K58,Q58)</f>
        <v>89.08</v>
      </c>
      <c r="U58" s="90">
        <f>SUM(G58,L58,R58)</f>
        <v>0</v>
      </c>
      <c r="V58" s="3"/>
      <c r="W58" s="88">
        <v>27.48</v>
      </c>
      <c r="X58" s="88">
        <v>472.52</v>
      </c>
    </row>
    <row r="59" ht="37" customHeight="1" spans="1:24">
      <c r="A59" s="3">
        <v>55</v>
      </c>
      <c r="B59" s="4" t="s">
        <v>71</v>
      </c>
      <c r="C59" s="88" t="s">
        <v>87</v>
      </c>
      <c r="D59" s="89" t="s">
        <v>87</v>
      </c>
      <c r="E59" s="88" t="s">
        <v>87</v>
      </c>
      <c r="F59" s="90" t="s">
        <v>87</v>
      </c>
      <c r="G59" s="90" t="s">
        <v>87</v>
      </c>
      <c r="H59" s="88" t="s">
        <v>87</v>
      </c>
      <c r="I59" s="89" t="s">
        <v>87</v>
      </c>
      <c r="J59" s="88" t="s">
        <v>87</v>
      </c>
      <c r="K59" s="90" t="s">
        <v>87</v>
      </c>
      <c r="L59" s="90" t="s">
        <v>87</v>
      </c>
      <c r="M59" s="88" t="s">
        <v>87</v>
      </c>
      <c r="N59" s="89" t="s">
        <v>87</v>
      </c>
      <c r="O59" s="88" t="s">
        <v>87</v>
      </c>
      <c r="P59" s="106">
        <f t="shared" si="0"/>
        <v>500</v>
      </c>
      <c r="Q59" s="90">
        <v>0</v>
      </c>
      <c r="R59" s="90" t="s">
        <v>87</v>
      </c>
      <c r="S59" s="93" t="s">
        <v>87</v>
      </c>
      <c r="T59" s="90" t="s">
        <v>87</v>
      </c>
      <c r="U59" s="90" t="s">
        <v>87</v>
      </c>
      <c r="V59" s="3"/>
      <c r="W59" s="88">
        <v>0</v>
      </c>
      <c r="X59" s="88">
        <v>500</v>
      </c>
    </row>
    <row r="60" ht="45" customHeight="1" spans="1:24">
      <c r="A60" s="3">
        <v>56</v>
      </c>
      <c r="B60" s="4" t="s">
        <v>72</v>
      </c>
      <c r="C60" s="88">
        <f>VLOOKUP(B60,'2加工'!$B$3:$U$47,2,0)</f>
        <v>500</v>
      </c>
      <c r="D60" s="89">
        <f>VLOOKUP(B60,'2加工'!$B$3:$U$48,3,0)</f>
        <v>1</v>
      </c>
      <c r="E60" s="88">
        <f>VLOOKUP(B60,'2加工'!$B$3:$U$48,4,0)</f>
        <v>2.5</v>
      </c>
      <c r="F60" s="90">
        <f>VLOOKUP(B60,'2加工'!$B$3:$U$48,5,0)</f>
        <v>2.5</v>
      </c>
      <c r="G60" s="90">
        <f>E60-F60</f>
        <v>0</v>
      </c>
      <c r="H60" s="88">
        <f>VLOOKUP(B60,'2加工'!$B$3:$U$48,7,0)</f>
        <v>0</v>
      </c>
      <c r="I60" s="89">
        <f>VLOOKUP(B60,'2加工'!$B$3:$U$48,8,0)</f>
        <v>0</v>
      </c>
      <c r="J60" s="88">
        <f>VLOOKUP(B60,'2加工'!$B$3:$U$48,9,0)</f>
        <v>0</v>
      </c>
      <c r="K60" s="90">
        <f>VLOOKUP(B60,'2加工'!$B$3:$U$48,10,0)</f>
        <v>0</v>
      </c>
      <c r="L60" s="90">
        <f>J60-K60</f>
        <v>0</v>
      </c>
      <c r="M60" s="88">
        <f>VLOOKUP(B60,'2加工'!$B$3:$U$48,12,0)</f>
        <v>0</v>
      </c>
      <c r="N60" s="89">
        <f>VLOOKUP(B60,'2加工'!$B$3:$U$48,13,0)</f>
        <v>0</v>
      </c>
      <c r="O60" s="88">
        <f>VLOOKUP(B60,'2加工'!$B$3:$U$48,14,0)</f>
        <v>0</v>
      </c>
      <c r="P60" s="106">
        <f t="shared" si="0"/>
        <v>500</v>
      </c>
      <c r="Q60" s="90">
        <f>VLOOKUP(B60,'2加工'!$B$3:$U$48,16,0)</f>
        <v>0</v>
      </c>
      <c r="R60" s="90">
        <f>+O60-Q60</f>
        <v>0</v>
      </c>
      <c r="S60" s="93">
        <f>SUM(E60,J60,O60)</f>
        <v>2.5</v>
      </c>
      <c r="T60" s="90">
        <f>SUM(F60,K60,Q60)</f>
        <v>2.5</v>
      </c>
      <c r="U60" s="90">
        <f>SUM(G60,L60,R60)</f>
        <v>0</v>
      </c>
      <c r="V60" s="3"/>
      <c r="W60" s="88">
        <v>0</v>
      </c>
      <c r="X60" s="88">
        <v>500</v>
      </c>
    </row>
    <row r="61" ht="45" customHeight="1" spans="1:24">
      <c r="A61" s="3">
        <v>57</v>
      </c>
      <c r="B61" s="4" t="s">
        <v>73</v>
      </c>
      <c r="C61" s="88">
        <f>VLOOKUP(B61,'2加工'!$B$3:$U$47,2,0)</f>
        <v>5095</v>
      </c>
      <c r="D61" s="89">
        <f>VLOOKUP(B61,'2加工'!$B$3:$U$48,3,0)</f>
        <v>28</v>
      </c>
      <c r="E61" s="88">
        <f>VLOOKUP(B61,'2加工'!$B$3:$U$48,4,0)</f>
        <v>25.48</v>
      </c>
      <c r="F61" s="90">
        <f>VLOOKUP(B61,'2加工'!$B$3:$U$48,5,0)</f>
        <v>25.48</v>
      </c>
      <c r="G61" s="90">
        <f>E61-F61</f>
        <v>0</v>
      </c>
      <c r="H61" s="88">
        <f>VLOOKUP(B61,'2加工'!$B$3:$U$48,7,0)</f>
        <v>0</v>
      </c>
      <c r="I61" s="89">
        <f>VLOOKUP(B61,'2加工'!$B$3:$U$48,8,0)</f>
        <v>0</v>
      </c>
      <c r="J61" s="88">
        <f>VLOOKUP(B61,'2加工'!$B$3:$U$48,9,0)</f>
        <v>0</v>
      </c>
      <c r="K61" s="90">
        <f>VLOOKUP(B61,'2加工'!$B$3:$U$48,10,0)</f>
        <v>0</v>
      </c>
      <c r="L61" s="90">
        <f>J61-K61</f>
        <v>0</v>
      </c>
      <c r="M61" s="88">
        <f>VLOOKUP(B61,'2加工'!$B$3:$U$48,12,0)</f>
        <v>0</v>
      </c>
      <c r="N61" s="89">
        <f>VLOOKUP(B61,'2加工'!$B$3:$U$48,13,0)</f>
        <v>0</v>
      </c>
      <c r="O61" s="88">
        <f>VLOOKUP(B61,'2加工'!$B$3:$U$48,14,0)</f>
        <v>0</v>
      </c>
      <c r="P61" s="106">
        <f t="shared" si="0"/>
        <v>500</v>
      </c>
      <c r="Q61" s="90">
        <f>VLOOKUP(B61,'2加工'!$B$3:$U$48,16,0)</f>
        <v>0</v>
      </c>
      <c r="R61" s="90">
        <f>+O61-Q61</f>
        <v>0</v>
      </c>
      <c r="S61" s="93">
        <f>SUM(E61,J61,O61)</f>
        <v>25.48</v>
      </c>
      <c r="T61" s="90">
        <f>SUM(F61,K61,Q61)</f>
        <v>25.48</v>
      </c>
      <c r="U61" s="90">
        <f>SUM(G61,L61,R61)</f>
        <v>0</v>
      </c>
      <c r="V61" s="3"/>
      <c r="W61" s="88">
        <v>0</v>
      </c>
      <c r="X61" s="88">
        <v>500</v>
      </c>
    </row>
    <row r="62" ht="45" customHeight="1" spans="1:22">
      <c r="A62" s="91" t="s">
        <v>74</v>
      </c>
      <c r="B62" s="92"/>
      <c r="C62" s="93">
        <f>SUM(C5:C61)</f>
        <v>436299.697369</v>
      </c>
      <c r="D62" s="94">
        <f t="shared" ref="C62:F62" si="19">SUM(D5:D61)</f>
        <v>2041</v>
      </c>
      <c r="E62" s="93">
        <f t="shared" si="19"/>
        <v>2130.067672</v>
      </c>
      <c r="F62" s="95">
        <f t="shared" si="19"/>
        <v>2037.687672</v>
      </c>
      <c r="G62" s="90">
        <f>E62-F62</f>
        <v>92.3800000000003</v>
      </c>
      <c r="H62" s="93">
        <f t="shared" ref="H62:K62" si="20">SUM(H5:H61)</f>
        <v>213926</v>
      </c>
      <c r="I62" s="94">
        <f t="shared" si="20"/>
        <v>248</v>
      </c>
      <c r="J62" s="93">
        <f t="shared" si="20"/>
        <v>1034.072328</v>
      </c>
      <c r="K62" s="95">
        <f t="shared" si="20"/>
        <v>926.612328</v>
      </c>
      <c r="L62" s="90">
        <f>J62-K62</f>
        <v>107.46</v>
      </c>
      <c r="M62" s="93">
        <f t="shared" ref="M62:P62" si="21">SUM(M5:M61)</f>
        <v>676726.19</v>
      </c>
      <c r="N62" s="94">
        <f t="shared" si="21"/>
        <v>6871</v>
      </c>
      <c r="O62" s="93">
        <f t="shared" si="21"/>
        <v>1328.99</v>
      </c>
      <c r="P62" s="93">
        <f t="shared" si="21"/>
        <v>27171.33</v>
      </c>
      <c r="Q62" s="95">
        <f t="shared" ref="Q62:S62" si="22">SUM(Q5:Q61)</f>
        <v>1328.67</v>
      </c>
      <c r="R62" s="90">
        <f>+O62-Q62</f>
        <v>0.319999999999709</v>
      </c>
      <c r="S62" s="93">
        <f t="shared" si="22"/>
        <v>4493.13</v>
      </c>
      <c r="T62" s="95">
        <f>SUM(F62,K62,Q62)</f>
        <v>4292.97</v>
      </c>
      <c r="U62" s="90">
        <f>SUM(G62,L62,R62)</f>
        <v>200.16</v>
      </c>
      <c r="V62" s="120"/>
    </row>
    <row r="63" ht="20" customHeight="1" spans="3:21">
      <c r="C63" s="96"/>
      <c r="D63" s="97"/>
      <c r="E63" s="96"/>
      <c r="F63" s="98"/>
      <c r="G63" s="98"/>
      <c r="H63" s="96"/>
      <c r="I63" s="97"/>
      <c r="J63" s="96"/>
      <c r="K63" s="98"/>
      <c r="L63" s="98"/>
      <c r="M63" s="107"/>
      <c r="N63" s="108"/>
      <c r="O63" s="107"/>
      <c r="P63" s="107"/>
      <c r="Q63" s="121"/>
      <c r="R63" s="121"/>
      <c r="S63" s="122"/>
      <c r="T63" s="123"/>
      <c r="U63" s="123"/>
    </row>
    <row r="64" ht="20" customHeight="1" spans="3:21">
      <c r="C64" s="96"/>
      <c r="D64" s="97"/>
      <c r="E64" s="96"/>
      <c r="F64" s="98"/>
      <c r="G64" s="98"/>
      <c r="H64" s="96"/>
      <c r="I64" s="97"/>
      <c r="J64" s="96"/>
      <c r="K64" s="98"/>
      <c r="L64" s="98"/>
      <c r="M64" s="107"/>
      <c r="N64" s="108"/>
      <c r="O64" s="107"/>
      <c r="P64" s="107"/>
      <c r="Q64" s="121"/>
      <c r="R64" s="121"/>
      <c r="S64" s="122"/>
      <c r="T64" s="123"/>
      <c r="U64" s="123"/>
    </row>
    <row r="65" ht="50" customHeight="1" spans="1:21">
      <c r="A65" s="125" t="s">
        <v>75</v>
      </c>
      <c r="B65" s="126">
        <f>SUM(D62,I62,N62)</f>
        <v>9160</v>
      </c>
      <c r="C65" s="91" t="s">
        <v>76</v>
      </c>
      <c r="D65" s="127"/>
      <c r="E65" s="91">
        <f>SUM(D62,I62)</f>
        <v>2289</v>
      </c>
      <c r="F65" s="92"/>
      <c r="G65" s="91" t="s">
        <v>77</v>
      </c>
      <c r="H65" s="92"/>
      <c r="I65" s="133">
        <f>SUM(F62,K62)</f>
        <v>2964.3</v>
      </c>
      <c r="J65" s="134"/>
      <c r="K65" s="91" t="s">
        <v>78</v>
      </c>
      <c r="L65" s="92"/>
      <c r="M65" s="91">
        <f>SUM(C62,H62)</f>
        <v>650225.697369</v>
      </c>
      <c r="N65" s="127"/>
      <c r="O65" s="91"/>
      <c r="P65" s="92"/>
      <c r="Q65" s="121"/>
      <c r="R65" s="121"/>
      <c r="S65" s="122"/>
      <c r="T65" s="143"/>
      <c r="U65" s="123"/>
    </row>
    <row r="66" customFormat="1" ht="50" customHeight="1" spans="1:16384">
      <c r="A66" s="125"/>
      <c r="B66" s="126"/>
      <c r="C66" s="91"/>
      <c r="D66" s="127"/>
      <c r="E66" s="91"/>
      <c r="F66" s="92"/>
      <c r="G66" s="91"/>
      <c r="H66" s="92"/>
      <c r="I66" s="133">
        <f>SUM(E62,J62)</f>
        <v>3164.14</v>
      </c>
      <c r="J66" s="134"/>
      <c r="K66" s="91"/>
      <c r="L66" s="92"/>
      <c r="M66" s="91"/>
      <c r="N66" s="127"/>
      <c r="O66" s="91"/>
      <c r="P66" s="92"/>
      <c r="Q66" s="121"/>
      <c r="R66" s="121"/>
      <c r="S66" s="122"/>
      <c r="T66" s="144"/>
      <c r="U66" s="123"/>
      <c r="Y66" s="64"/>
      <c r="Z66" s="64"/>
      <c r="AA66" s="64"/>
      <c r="AB66" s="64"/>
      <c r="AC66" s="64"/>
      <c r="AD66" s="64"/>
      <c r="AE66" s="64"/>
      <c r="AF66" s="64"/>
      <c r="XFC66" s="125"/>
      <c r="XFD66" s="126"/>
    </row>
    <row r="67" ht="20" customHeight="1" spans="3:21">
      <c r="C67" s="96"/>
      <c r="D67" s="97"/>
      <c r="E67" s="96"/>
      <c r="F67" s="98"/>
      <c r="G67" s="98"/>
      <c r="H67" s="96"/>
      <c r="I67" s="97"/>
      <c r="J67" s="96"/>
      <c r="K67" s="98"/>
      <c r="L67" s="98"/>
      <c r="M67" s="107"/>
      <c r="N67" s="108"/>
      <c r="O67" s="107"/>
      <c r="P67" s="107"/>
      <c r="Q67" s="121"/>
      <c r="R67" s="121"/>
      <c r="S67" s="122"/>
      <c r="T67" s="144"/>
      <c r="U67" s="123"/>
    </row>
    <row r="71" spans="1:24">
      <c r="A71" s="5"/>
      <c r="B71" s="5"/>
      <c r="C71" s="5">
        <v>2</v>
      </c>
      <c r="D71" s="5">
        <v>3</v>
      </c>
      <c r="E71" s="5">
        <v>4</v>
      </c>
      <c r="F71" s="5">
        <v>5</v>
      </c>
      <c r="G71" s="5">
        <v>6</v>
      </c>
      <c r="H71" s="5">
        <v>7</v>
      </c>
      <c r="I71" s="5">
        <v>8</v>
      </c>
      <c r="J71" s="5">
        <v>9</v>
      </c>
      <c r="K71" s="5">
        <v>10</v>
      </c>
      <c r="L71" s="5">
        <v>11</v>
      </c>
      <c r="M71" s="5">
        <v>12</v>
      </c>
      <c r="N71" s="5">
        <v>13</v>
      </c>
      <c r="O71" s="5">
        <v>14</v>
      </c>
      <c r="P71" s="5">
        <v>15</v>
      </c>
      <c r="Q71" s="5">
        <v>16</v>
      </c>
      <c r="R71" s="5">
        <v>17</v>
      </c>
      <c r="S71" s="5">
        <v>18</v>
      </c>
      <c r="T71" s="5">
        <v>19</v>
      </c>
      <c r="U71" s="5">
        <v>20</v>
      </c>
      <c r="V71" s="5"/>
      <c r="W71" s="145"/>
      <c r="X71" s="146"/>
    </row>
    <row r="72" spans="1:24">
      <c r="A72" s="9" t="s">
        <v>1</v>
      </c>
      <c r="B72" s="9" t="s">
        <v>2</v>
      </c>
      <c r="C72" s="10" t="s">
        <v>3</v>
      </c>
      <c r="D72" s="11"/>
      <c r="E72" s="10"/>
      <c r="F72" s="12"/>
      <c r="G72" s="12"/>
      <c r="H72" s="10"/>
      <c r="I72" s="11"/>
      <c r="J72" s="10"/>
      <c r="K72" s="12"/>
      <c r="L72" s="12"/>
      <c r="M72" s="135" t="s">
        <v>4</v>
      </c>
      <c r="N72" s="136"/>
      <c r="O72" s="137"/>
      <c r="P72" s="138"/>
      <c r="Q72" s="138"/>
      <c r="R72" s="147"/>
      <c r="S72" s="148" t="s">
        <v>5</v>
      </c>
      <c r="T72" s="149" t="s">
        <v>6</v>
      </c>
      <c r="U72" s="149" t="s">
        <v>7</v>
      </c>
      <c r="V72" s="150" t="s">
        <v>8</v>
      </c>
      <c r="W72" s="151"/>
      <c r="X72" s="152"/>
    </row>
    <row r="73" ht="60.45" spans="1:24">
      <c r="A73" s="9"/>
      <c r="B73" s="9"/>
      <c r="C73" s="128" t="s">
        <v>9</v>
      </c>
      <c r="D73" s="11" t="s">
        <v>10</v>
      </c>
      <c r="E73" s="128" t="s">
        <v>11</v>
      </c>
      <c r="F73" s="129" t="s">
        <v>12</v>
      </c>
      <c r="G73" s="129" t="s">
        <v>13</v>
      </c>
      <c r="H73" s="128" t="s">
        <v>14</v>
      </c>
      <c r="I73" s="11" t="s">
        <v>10</v>
      </c>
      <c r="J73" s="128" t="s">
        <v>11</v>
      </c>
      <c r="K73" s="129" t="s">
        <v>12</v>
      </c>
      <c r="L73" s="129" t="s">
        <v>13</v>
      </c>
      <c r="M73" s="10" t="s">
        <v>15</v>
      </c>
      <c r="N73" s="11" t="s">
        <v>10</v>
      </c>
      <c r="O73" s="10" t="s">
        <v>11</v>
      </c>
      <c r="P73" s="12" t="s">
        <v>16</v>
      </c>
      <c r="Q73" s="13" t="s">
        <v>12</v>
      </c>
      <c r="R73" s="13" t="s">
        <v>13</v>
      </c>
      <c r="S73" s="153"/>
      <c r="T73" s="129"/>
      <c r="U73" s="129"/>
      <c r="V73" s="154"/>
      <c r="W73" s="155"/>
      <c r="X73" s="156"/>
    </row>
    <row r="75" s="64" customFormat="1" spans="2:21">
      <c r="B75" s="130"/>
      <c r="C75" s="131">
        <f>F62+K62</f>
        <v>2964.3</v>
      </c>
      <c r="D75" s="131">
        <f>O62</f>
        <v>1328.99</v>
      </c>
      <c r="E75" s="131"/>
      <c r="F75" s="132"/>
      <c r="G75" s="132"/>
      <c r="H75" s="131"/>
      <c r="I75" s="139"/>
      <c r="J75" s="131"/>
      <c r="K75" s="132"/>
      <c r="L75" s="132"/>
      <c r="M75" s="140"/>
      <c r="N75" s="141"/>
      <c r="O75" s="140"/>
      <c r="P75" s="142"/>
      <c r="Q75" s="157"/>
      <c r="R75" s="157"/>
      <c r="S75" s="158"/>
      <c r="T75" s="159"/>
      <c r="U75" s="159"/>
    </row>
    <row r="77" spans="3:3">
      <c r="C77" s="66">
        <f>ROUND(C75+D75,2)</f>
        <v>4293.29</v>
      </c>
    </row>
  </sheetData>
  <autoFilter ref="A4:XFD77">
    <extLst/>
  </autoFilter>
  <mergeCells count="34">
    <mergeCell ref="A2:V2"/>
    <mergeCell ref="C3:L3"/>
    <mergeCell ref="M3:R3"/>
    <mergeCell ref="A62:B62"/>
    <mergeCell ref="C65:D65"/>
    <mergeCell ref="E65:F65"/>
    <mergeCell ref="G65:H65"/>
    <mergeCell ref="I65:J65"/>
    <mergeCell ref="K65:L65"/>
    <mergeCell ref="M65:N65"/>
    <mergeCell ref="O65:P65"/>
    <mergeCell ref="C66:D66"/>
    <mergeCell ref="E66:F66"/>
    <mergeCell ref="G66:H66"/>
    <mergeCell ref="I66:J66"/>
    <mergeCell ref="K66:L66"/>
    <mergeCell ref="M66:N66"/>
    <mergeCell ref="O66:P66"/>
    <mergeCell ref="C72:L72"/>
    <mergeCell ref="M72:R72"/>
    <mergeCell ref="A3:A4"/>
    <mergeCell ref="A72:A73"/>
    <mergeCell ref="B3:B4"/>
    <mergeCell ref="B72:B73"/>
    <mergeCell ref="S3:S4"/>
    <mergeCell ref="S72:S73"/>
    <mergeCell ref="T3:T4"/>
    <mergeCell ref="T72:T73"/>
    <mergeCell ref="U3:U4"/>
    <mergeCell ref="U72:U73"/>
    <mergeCell ref="V3:V4"/>
    <mergeCell ref="V72:V73"/>
    <mergeCell ref="W72:W73"/>
    <mergeCell ref="X72:X73"/>
  </mergeCells>
  <pageMargins left="0.748031496062992" right="0.748031496062992" top="0.590277777777778" bottom="0.629861111111111" header="0.511811023622047" footer="0.511811023622047"/>
  <pageSetup paperSize="8" scale="35"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7"/>
  <sheetViews>
    <sheetView workbookViewId="0">
      <selection activeCell="W6" sqref="W6"/>
    </sheetView>
  </sheetViews>
  <sheetFormatPr defaultColWidth="9" defaultRowHeight="10" customHeight="1"/>
  <cols>
    <col min="1" max="1" width="4.62162162162162" style="32" customWidth="1"/>
    <col min="2" max="2" width="16.8738738738739" style="32" customWidth="1"/>
    <col min="3" max="3" width="11.5045045045045" style="32"/>
    <col min="4" max="5" width="9" style="32"/>
    <col min="6" max="6" width="9.25225225225225" style="32"/>
    <col min="7" max="7" width="9" style="32"/>
    <col min="8" max="8" width="11.5045045045045" style="32"/>
    <col min="9" max="12" width="9" style="32"/>
    <col min="13" max="13" width="11.5045045045045" style="32"/>
    <col min="14" max="15" width="9" style="32"/>
    <col min="16" max="16" width="9.37837837837838" style="32"/>
    <col min="17" max="17" width="9.25225225225225" style="32"/>
    <col min="18" max="18" width="9" style="32"/>
    <col min="19" max="20" width="9.25225225225225" style="32"/>
    <col min="21" max="16384" width="9" style="32"/>
  </cols>
  <sheetData>
    <row r="1" customHeight="1" spans="1:22">
      <c r="A1" s="33" t="s">
        <v>1</v>
      </c>
      <c r="B1" s="33" t="s">
        <v>2</v>
      </c>
      <c r="C1" s="34" t="s">
        <v>3</v>
      </c>
      <c r="D1" s="35"/>
      <c r="E1" s="34"/>
      <c r="F1" s="36"/>
      <c r="G1" s="36"/>
      <c r="H1" s="34"/>
      <c r="I1" s="35"/>
      <c r="J1" s="34"/>
      <c r="K1" s="36"/>
      <c r="L1" s="36"/>
      <c r="M1" s="48" t="s">
        <v>4</v>
      </c>
      <c r="N1" s="49"/>
      <c r="O1" s="50"/>
      <c r="P1" s="51"/>
      <c r="Q1" s="51"/>
      <c r="R1" s="54"/>
      <c r="S1" s="55" t="s">
        <v>5</v>
      </c>
      <c r="T1" s="56" t="s">
        <v>6</v>
      </c>
      <c r="U1" s="56" t="s">
        <v>7</v>
      </c>
      <c r="V1" s="57" t="s">
        <v>8</v>
      </c>
    </row>
    <row r="2" customHeight="1" spans="1:22">
      <c r="A2" s="33"/>
      <c r="B2" s="33"/>
      <c r="C2" s="37" t="s">
        <v>9</v>
      </c>
      <c r="D2" s="35" t="s">
        <v>10</v>
      </c>
      <c r="E2" s="37" t="s">
        <v>11</v>
      </c>
      <c r="F2" s="38" t="s">
        <v>12</v>
      </c>
      <c r="G2" s="38" t="s">
        <v>13</v>
      </c>
      <c r="H2" s="37" t="s">
        <v>14</v>
      </c>
      <c r="I2" s="35" t="s">
        <v>10</v>
      </c>
      <c r="J2" s="37" t="s">
        <v>11</v>
      </c>
      <c r="K2" s="38" t="s">
        <v>12</v>
      </c>
      <c r="L2" s="38" t="s">
        <v>13</v>
      </c>
      <c r="M2" s="34" t="s">
        <v>15</v>
      </c>
      <c r="N2" s="35" t="s">
        <v>10</v>
      </c>
      <c r="O2" s="34" t="s">
        <v>11</v>
      </c>
      <c r="P2" s="36" t="s">
        <v>16</v>
      </c>
      <c r="Q2" s="43" t="s">
        <v>12</v>
      </c>
      <c r="R2" s="43" t="s">
        <v>13</v>
      </c>
      <c r="S2" s="58"/>
      <c r="T2" s="38"/>
      <c r="U2" s="38"/>
      <c r="V2" s="59"/>
    </row>
    <row r="3" customHeight="1" spans="1:23">
      <c r="A3" s="39">
        <v>1</v>
      </c>
      <c r="B3" s="40" t="s">
        <v>17</v>
      </c>
      <c r="C3" s="41">
        <v>27961</v>
      </c>
      <c r="D3" s="42">
        <v>88</v>
      </c>
      <c r="E3" s="41">
        <v>137.2</v>
      </c>
      <c r="F3" s="43">
        <v>137.2</v>
      </c>
      <c r="G3" s="43"/>
      <c r="H3" s="41">
        <v>8250</v>
      </c>
      <c r="I3" s="42">
        <v>9</v>
      </c>
      <c r="J3" s="41">
        <v>33.61</v>
      </c>
      <c r="K3" s="43">
        <v>31.17</v>
      </c>
      <c r="L3" s="43">
        <v>2.44</v>
      </c>
      <c r="M3" s="41">
        <v>146988.7</v>
      </c>
      <c r="N3" s="42">
        <v>2363</v>
      </c>
      <c r="O3" s="41">
        <v>273.05</v>
      </c>
      <c r="P3" s="52">
        <v>226.95</v>
      </c>
      <c r="Q3" s="43">
        <v>273.05</v>
      </c>
      <c r="R3" s="43"/>
      <c r="S3" s="34">
        <v>443.86</v>
      </c>
      <c r="T3" s="43">
        <v>441.42</v>
      </c>
      <c r="U3" s="43">
        <v>2.44</v>
      </c>
      <c r="V3" s="60" t="s">
        <v>90</v>
      </c>
      <c r="W3" s="32">
        <f>VLOOKUP(B3,'常规业务5-6'!$B$5:$V$61,21,0)</f>
        <v>0</v>
      </c>
    </row>
    <row r="4" customHeight="1" spans="1:23">
      <c r="A4" s="39">
        <v>2</v>
      </c>
      <c r="B4" s="40" t="s">
        <v>18</v>
      </c>
      <c r="C4" s="41">
        <v>5939</v>
      </c>
      <c r="D4" s="42">
        <v>17</v>
      </c>
      <c r="E4" s="41">
        <v>24.77</v>
      </c>
      <c r="F4" s="43">
        <v>20.05</v>
      </c>
      <c r="G4" s="43">
        <v>4.72</v>
      </c>
      <c r="H4" s="41">
        <v>14094</v>
      </c>
      <c r="I4" s="42">
        <v>14</v>
      </c>
      <c r="J4" s="41">
        <v>57.64</v>
      </c>
      <c r="K4" s="43">
        <v>38.34</v>
      </c>
      <c r="L4" s="43">
        <v>19.3</v>
      </c>
      <c r="M4" s="41"/>
      <c r="N4" s="42"/>
      <c r="O4" s="41"/>
      <c r="P4" s="52">
        <v>500</v>
      </c>
      <c r="Q4" s="43"/>
      <c r="R4" s="43"/>
      <c r="S4" s="34">
        <v>82.41</v>
      </c>
      <c r="T4" s="43">
        <v>58.39</v>
      </c>
      <c r="U4" s="43">
        <v>24.02</v>
      </c>
      <c r="V4" s="61" t="s">
        <v>91</v>
      </c>
      <c r="W4" s="32">
        <f>VLOOKUP(B4,'常规业务5-6'!$B$5:$V$61,21,0)</f>
        <v>0</v>
      </c>
    </row>
    <row r="5" customHeight="1" spans="1:23">
      <c r="A5" s="39">
        <v>3</v>
      </c>
      <c r="B5" s="40" t="s">
        <v>19</v>
      </c>
      <c r="C5" s="41">
        <v>33258.93</v>
      </c>
      <c r="D5" s="42">
        <v>163</v>
      </c>
      <c r="E5" s="41">
        <v>163.87</v>
      </c>
      <c r="F5" s="43">
        <v>159.01</v>
      </c>
      <c r="G5" s="43">
        <v>4.86</v>
      </c>
      <c r="H5" s="41">
        <v>17289</v>
      </c>
      <c r="I5" s="42">
        <v>19</v>
      </c>
      <c r="J5" s="41">
        <v>85.56</v>
      </c>
      <c r="K5" s="43">
        <v>76.82</v>
      </c>
      <c r="L5" s="43">
        <v>8.74</v>
      </c>
      <c r="M5" s="41">
        <v>13688.6</v>
      </c>
      <c r="N5" s="42">
        <v>166</v>
      </c>
      <c r="O5" s="41">
        <v>27.47</v>
      </c>
      <c r="P5" s="52">
        <v>472.53</v>
      </c>
      <c r="Q5" s="43">
        <v>27.47</v>
      </c>
      <c r="R5" s="43"/>
      <c r="S5" s="34">
        <v>276.9</v>
      </c>
      <c r="T5" s="43">
        <v>263.3</v>
      </c>
      <c r="U5" s="43">
        <v>13.6</v>
      </c>
      <c r="V5" s="61" t="s">
        <v>92</v>
      </c>
      <c r="W5" s="32">
        <f>VLOOKUP(B5,'常规业务5-6'!$B$5:$V$61,21,0)</f>
        <v>0</v>
      </c>
    </row>
    <row r="6" customHeight="1" spans="1:23">
      <c r="A6" s="39">
        <v>4</v>
      </c>
      <c r="B6" s="40" t="s">
        <v>21</v>
      </c>
      <c r="C6" s="41">
        <v>23923.527369</v>
      </c>
      <c r="D6" s="42">
        <v>75</v>
      </c>
      <c r="E6" s="41">
        <v>118.52</v>
      </c>
      <c r="F6" s="43">
        <v>118.52</v>
      </c>
      <c r="G6" s="43"/>
      <c r="H6" s="41">
        <v>19586</v>
      </c>
      <c r="I6" s="42">
        <v>23</v>
      </c>
      <c r="J6" s="41">
        <v>97.17</v>
      </c>
      <c r="K6" s="43">
        <v>97.17</v>
      </c>
      <c r="L6" s="43"/>
      <c r="M6" s="41">
        <v>28101.7</v>
      </c>
      <c r="N6" s="42">
        <v>220</v>
      </c>
      <c r="O6" s="41">
        <v>56.06</v>
      </c>
      <c r="P6" s="52">
        <v>443.94</v>
      </c>
      <c r="Q6" s="43">
        <v>56.06</v>
      </c>
      <c r="R6" s="43"/>
      <c r="S6" s="34">
        <v>271.75</v>
      </c>
      <c r="T6" s="43">
        <v>271.75</v>
      </c>
      <c r="U6" s="43">
        <v>0</v>
      </c>
      <c r="V6" s="61"/>
      <c r="W6" s="32">
        <f>VLOOKUP(B6,'常规业务5-6'!$B$5:$V$61,21,0)</f>
        <v>0</v>
      </c>
    </row>
    <row r="7" customHeight="1" spans="1:23">
      <c r="A7" s="39">
        <v>5</v>
      </c>
      <c r="B7" s="40" t="s">
        <v>22</v>
      </c>
      <c r="C7" s="41">
        <v>3816</v>
      </c>
      <c r="D7" s="42">
        <v>17</v>
      </c>
      <c r="E7" s="41">
        <v>19.07</v>
      </c>
      <c r="F7" s="43">
        <v>13.32</v>
      </c>
      <c r="G7" s="43">
        <v>5.75</v>
      </c>
      <c r="H7" s="41">
        <v>5350</v>
      </c>
      <c r="I7" s="42">
        <v>5</v>
      </c>
      <c r="J7" s="41">
        <v>23.21</v>
      </c>
      <c r="K7" s="43">
        <v>20.47</v>
      </c>
      <c r="L7" s="43">
        <v>2.74</v>
      </c>
      <c r="M7" s="41"/>
      <c r="N7" s="42"/>
      <c r="O7" s="41"/>
      <c r="P7" s="52">
        <v>500</v>
      </c>
      <c r="Q7" s="43"/>
      <c r="R7" s="43"/>
      <c r="S7" s="34">
        <v>42.28</v>
      </c>
      <c r="T7" s="43">
        <v>33.79</v>
      </c>
      <c r="U7" s="43">
        <v>8.49</v>
      </c>
      <c r="V7" s="61" t="s">
        <v>93</v>
      </c>
      <c r="W7" s="32">
        <f>VLOOKUP(B7,'常规业务5-6'!$B$5:$V$61,21,0)</f>
        <v>0</v>
      </c>
    </row>
    <row r="8" customHeight="1" spans="1:23">
      <c r="A8" s="39">
        <v>6</v>
      </c>
      <c r="B8" s="40" t="s">
        <v>23</v>
      </c>
      <c r="C8" s="41">
        <v>6925</v>
      </c>
      <c r="D8" s="42">
        <v>31</v>
      </c>
      <c r="E8" s="41">
        <v>34.21</v>
      </c>
      <c r="F8" s="43">
        <v>34.21</v>
      </c>
      <c r="G8" s="43">
        <v>0</v>
      </c>
      <c r="H8" s="41">
        <v>750</v>
      </c>
      <c r="I8" s="42">
        <v>1</v>
      </c>
      <c r="J8" s="41">
        <v>3.74</v>
      </c>
      <c r="K8" s="43">
        <v>3.74</v>
      </c>
      <c r="L8" s="43"/>
      <c r="M8" s="41">
        <v>14518.8</v>
      </c>
      <c r="N8" s="42">
        <v>125</v>
      </c>
      <c r="O8" s="41">
        <v>28.98</v>
      </c>
      <c r="P8" s="52">
        <v>471.02</v>
      </c>
      <c r="Q8" s="43">
        <v>28.98</v>
      </c>
      <c r="R8" s="43"/>
      <c r="S8" s="34">
        <v>66.93</v>
      </c>
      <c r="T8" s="43">
        <v>66.93</v>
      </c>
      <c r="U8" s="43">
        <v>0</v>
      </c>
      <c r="V8" s="61"/>
      <c r="W8" s="32">
        <f>VLOOKUP(B8,'常规业务5-6'!$B$5:$V$61,21,0)</f>
        <v>0</v>
      </c>
    </row>
    <row r="9" customHeight="1" spans="1:23">
      <c r="A9" s="39">
        <v>7</v>
      </c>
      <c r="B9" s="40" t="s">
        <v>24</v>
      </c>
      <c r="C9" s="41">
        <v>19120</v>
      </c>
      <c r="D9" s="42">
        <v>68</v>
      </c>
      <c r="E9" s="41">
        <v>94.85</v>
      </c>
      <c r="F9" s="43">
        <v>94.85</v>
      </c>
      <c r="G9" s="43"/>
      <c r="H9" s="41">
        <v>16600</v>
      </c>
      <c r="I9" s="42">
        <v>19</v>
      </c>
      <c r="J9" s="41">
        <v>81.82</v>
      </c>
      <c r="K9" s="43">
        <v>72.07</v>
      </c>
      <c r="L9" s="43">
        <v>9.75</v>
      </c>
      <c r="M9" s="41">
        <v>16951</v>
      </c>
      <c r="N9" s="42">
        <v>112</v>
      </c>
      <c r="O9" s="41">
        <v>33.91</v>
      </c>
      <c r="P9" s="52">
        <v>466.09</v>
      </c>
      <c r="Q9" s="43">
        <v>33.91</v>
      </c>
      <c r="R9" s="43"/>
      <c r="S9" s="34">
        <v>210.58</v>
      </c>
      <c r="T9" s="43">
        <v>200.83</v>
      </c>
      <c r="U9" s="43">
        <v>9.75</v>
      </c>
      <c r="V9" s="61" t="s">
        <v>94</v>
      </c>
      <c r="W9" s="32">
        <f>VLOOKUP(B9,'常规业务5-6'!$B$5:$V$61,21,0)</f>
        <v>0</v>
      </c>
    </row>
    <row r="10" customHeight="1" spans="1:23">
      <c r="A10" s="39">
        <v>8</v>
      </c>
      <c r="B10" s="40" t="s">
        <v>25</v>
      </c>
      <c r="C10" s="41">
        <v>13345</v>
      </c>
      <c r="D10" s="42">
        <v>114</v>
      </c>
      <c r="E10" s="41">
        <v>63.56</v>
      </c>
      <c r="F10" s="43">
        <v>61.06</v>
      </c>
      <c r="G10" s="43">
        <v>2.5</v>
      </c>
      <c r="H10" s="41">
        <v>5850</v>
      </c>
      <c r="I10" s="42">
        <v>7</v>
      </c>
      <c r="J10" s="41">
        <v>25.79</v>
      </c>
      <c r="K10" s="43">
        <v>25.79</v>
      </c>
      <c r="L10" s="43"/>
      <c r="M10" s="41">
        <v>34641.1</v>
      </c>
      <c r="N10" s="42">
        <v>410</v>
      </c>
      <c r="O10" s="41">
        <v>69.28</v>
      </c>
      <c r="P10" s="52">
        <v>430.72</v>
      </c>
      <c r="Q10" s="43">
        <v>69.28</v>
      </c>
      <c r="R10" s="43"/>
      <c r="S10" s="34">
        <v>158.63</v>
      </c>
      <c r="T10" s="43">
        <v>156.13</v>
      </c>
      <c r="U10" s="43">
        <v>2.5</v>
      </c>
      <c r="V10" s="61" t="s">
        <v>95</v>
      </c>
      <c r="W10" s="32">
        <f>VLOOKUP(B10,'常规业务5-6'!$B$5:$V$61,21,0)</f>
        <v>0</v>
      </c>
    </row>
    <row r="11" customHeight="1" spans="1:23">
      <c r="A11" s="44">
        <v>9</v>
      </c>
      <c r="B11" s="45" t="s">
        <v>34</v>
      </c>
      <c r="C11" s="41">
        <v>10488</v>
      </c>
      <c r="D11" s="42">
        <v>36</v>
      </c>
      <c r="E11" s="41">
        <v>50.95</v>
      </c>
      <c r="F11" s="43">
        <v>50.95</v>
      </c>
      <c r="G11" s="43"/>
      <c r="H11" s="41">
        <v>7083</v>
      </c>
      <c r="I11" s="42">
        <v>8</v>
      </c>
      <c r="J11" s="41">
        <v>35.02</v>
      </c>
      <c r="K11" s="43">
        <v>23.03</v>
      </c>
      <c r="L11" s="43">
        <v>11.99</v>
      </c>
      <c r="M11" s="41"/>
      <c r="N11" s="42"/>
      <c r="O11" s="41"/>
      <c r="P11" s="52">
        <v>500</v>
      </c>
      <c r="Q11" s="43"/>
      <c r="R11" s="43"/>
      <c r="S11" s="34">
        <v>85.97</v>
      </c>
      <c r="T11" s="43">
        <v>73.98</v>
      </c>
      <c r="U11" s="43">
        <v>11.99</v>
      </c>
      <c r="V11" s="62" t="s">
        <v>96</v>
      </c>
      <c r="W11" s="32">
        <f>VLOOKUP(B11,'常规业务5-6'!$B$5:$V$61,21,0)</f>
        <v>0</v>
      </c>
    </row>
    <row r="12" customHeight="1" spans="1:23">
      <c r="A12" s="39">
        <v>1</v>
      </c>
      <c r="B12" s="45" t="s">
        <v>26</v>
      </c>
      <c r="C12" s="41">
        <v>53094</v>
      </c>
      <c r="D12" s="42">
        <v>133</v>
      </c>
      <c r="E12" s="41">
        <v>261.03</v>
      </c>
      <c r="F12" s="43">
        <v>258.53</v>
      </c>
      <c r="G12" s="43">
        <v>2.5</v>
      </c>
      <c r="H12" s="41">
        <v>10680</v>
      </c>
      <c r="I12" s="42">
        <v>13</v>
      </c>
      <c r="J12" s="41">
        <v>53.27</v>
      </c>
      <c r="K12" s="43">
        <v>49.27</v>
      </c>
      <c r="L12" s="43">
        <v>4</v>
      </c>
      <c r="M12" s="41">
        <v>38445.4</v>
      </c>
      <c r="N12" s="42">
        <v>238</v>
      </c>
      <c r="O12" s="41">
        <v>76.89</v>
      </c>
      <c r="P12" s="52">
        <v>423.11</v>
      </c>
      <c r="Q12" s="43">
        <v>76.76</v>
      </c>
      <c r="R12" s="43">
        <v>0.129999999999995</v>
      </c>
      <c r="S12" s="34">
        <v>391.19</v>
      </c>
      <c r="T12" s="43">
        <v>384.56</v>
      </c>
      <c r="U12" s="43">
        <v>6.63</v>
      </c>
      <c r="V12" s="62"/>
      <c r="W12" s="32">
        <f>VLOOKUP(B12,'常规业务5-6'!$B$5:$V$61,21,0)</f>
        <v>0</v>
      </c>
    </row>
    <row r="13" customHeight="1" spans="1:23">
      <c r="A13" s="39">
        <v>2</v>
      </c>
      <c r="B13" s="45" t="s">
        <v>27</v>
      </c>
      <c r="C13" s="41">
        <v>16289</v>
      </c>
      <c r="D13" s="42">
        <v>70</v>
      </c>
      <c r="E13" s="41">
        <v>81.46</v>
      </c>
      <c r="F13" s="43">
        <v>62.13</v>
      </c>
      <c r="G13" s="43">
        <v>19.33</v>
      </c>
      <c r="H13" s="41">
        <v>5400</v>
      </c>
      <c r="I13" s="42">
        <v>6</v>
      </c>
      <c r="J13" s="41">
        <v>26</v>
      </c>
      <c r="K13" s="43">
        <v>15.66</v>
      </c>
      <c r="L13" s="43">
        <v>10.34</v>
      </c>
      <c r="M13" s="41">
        <v>42952.6</v>
      </c>
      <c r="N13" s="42">
        <v>478</v>
      </c>
      <c r="O13" s="41">
        <v>85.87</v>
      </c>
      <c r="P13" s="52">
        <v>414.13</v>
      </c>
      <c r="Q13" s="43">
        <v>85.8100000000001</v>
      </c>
      <c r="R13" s="43">
        <v>0.0599999999999028</v>
      </c>
      <c r="S13" s="34">
        <v>193.33</v>
      </c>
      <c r="T13" s="43">
        <v>163.6</v>
      </c>
      <c r="U13" s="43">
        <v>29.7299999999999</v>
      </c>
      <c r="V13" s="62"/>
      <c r="W13" s="32">
        <f>VLOOKUP(B13,'常规业务5-6'!$B$5:$V$61,21,0)</f>
        <v>0</v>
      </c>
    </row>
    <row r="14" customHeight="1" spans="1:23">
      <c r="A14" s="39">
        <v>3</v>
      </c>
      <c r="B14" s="45" t="s">
        <v>97</v>
      </c>
      <c r="C14" s="41">
        <v>6155</v>
      </c>
      <c r="D14" s="42">
        <v>28</v>
      </c>
      <c r="E14" s="41">
        <v>29.7</v>
      </c>
      <c r="F14" s="43">
        <v>25.84</v>
      </c>
      <c r="G14" s="43">
        <v>3.86</v>
      </c>
      <c r="H14" s="41">
        <v>5730</v>
      </c>
      <c r="I14" s="42">
        <v>7</v>
      </c>
      <c r="J14" s="41">
        <v>22.71</v>
      </c>
      <c r="K14" s="43">
        <v>12.06</v>
      </c>
      <c r="L14" s="43">
        <v>10.65</v>
      </c>
      <c r="M14" s="41">
        <v>0</v>
      </c>
      <c r="N14" s="42">
        <v>0</v>
      </c>
      <c r="O14" s="41">
        <v>0</v>
      </c>
      <c r="P14" s="52">
        <v>500</v>
      </c>
      <c r="Q14" s="43">
        <v>0</v>
      </c>
      <c r="R14" s="43">
        <v>0</v>
      </c>
      <c r="S14" s="34">
        <v>52.41</v>
      </c>
      <c r="T14" s="43">
        <v>37.9</v>
      </c>
      <c r="U14" s="43">
        <v>14.51</v>
      </c>
      <c r="V14" s="62"/>
      <c r="W14" s="32" t="e">
        <f>VLOOKUP(B14,'常规业务5-6'!$B$5:$V$61,21,0)</f>
        <v>#N/A</v>
      </c>
    </row>
    <row r="15" customHeight="1" spans="1:23">
      <c r="A15" s="39">
        <v>4</v>
      </c>
      <c r="B15" s="45" t="s">
        <v>29</v>
      </c>
      <c r="C15" s="46">
        <v>21790</v>
      </c>
      <c r="D15" s="42">
        <v>119</v>
      </c>
      <c r="E15" s="41">
        <v>108.97</v>
      </c>
      <c r="F15" s="43">
        <v>106.75</v>
      </c>
      <c r="G15" s="43">
        <v>2.22</v>
      </c>
      <c r="H15" s="41">
        <v>4000</v>
      </c>
      <c r="I15" s="42">
        <v>5</v>
      </c>
      <c r="J15" s="41">
        <v>19.98</v>
      </c>
      <c r="K15" s="53">
        <v>14.98</v>
      </c>
      <c r="L15" s="53">
        <v>5</v>
      </c>
      <c r="M15" s="41">
        <v>29076.5</v>
      </c>
      <c r="N15" s="42">
        <v>378</v>
      </c>
      <c r="O15" s="41">
        <v>58.11</v>
      </c>
      <c r="P15" s="52">
        <v>441.89</v>
      </c>
      <c r="Q15" s="43">
        <v>58.11</v>
      </c>
      <c r="R15" s="43">
        <v>0</v>
      </c>
      <c r="S15" s="34">
        <v>187.06</v>
      </c>
      <c r="T15" s="43">
        <v>179.84</v>
      </c>
      <c r="U15" s="43">
        <v>7.22</v>
      </c>
      <c r="V15" s="62"/>
      <c r="W15" s="32">
        <f>VLOOKUP(B15,'常规业务5-6'!$B$5:$V$61,21,0)</f>
        <v>0</v>
      </c>
    </row>
    <row r="16" customHeight="1" spans="1:23">
      <c r="A16" s="39">
        <v>5</v>
      </c>
      <c r="B16" s="45" t="s">
        <v>31</v>
      </c>
      <c r="C16" s="41">
        <v>400</v>
      </c>
      <c r="D16" s="42">
        <v>1</v>
      </c>
      <c r="E16" s="41">
        <v>1.99</v>
      </c>
      <c r="F16" s="43">
        <v>1.99</v>
      </c>
      <c r="G16" s="43">
        <v>0</v>
      </c>
      <c r="H16" s="41">
        <v>7020</v>
      </c>
      <c r="I16" s="42">
        <v>8</v>
      </c>
      <c r="J16" s="41">
        <v>35.04</v>
      </c>
      <c r="K16" s="43">
        <v>35.04</v>
      </c>
      <c r="L16" s="43">
        <v>0</v>
      </c>
      <c r="M16" s="41">
        <v>0</v>
      </c>
      <c r="N16" s="42">
        <v>0</v>
      </c>
      <c r="O16" s="41">
        <v>0</v>
      </c>
      <c r="P16" s="52">
        <v>500</v>
      </c>
      <c r="Q16" s="43">
        <v>0</v>
      </c>
      <c r="R16" s="43">
        <v>0</v>
      </c>
      <c r="S16" s="34">
        <v>37.03</v>
      </c>
      <c r="T16" s="43">
        <v>37.03</v>
      </c>
      <c r="U16" s="43">
        <v>0</v>
      </c>
      <c r="V16" s="62"/>
      <c r="W16" s="32">
        <f>VLOOKUP(B16,'常规业务5-6'!$B$5:$V$61,21,0)</f>
        <v>0</v>
      </c>
    </row>
    <row r="17" customHeight="1" spans="1:23">
      <c r="A17" s="39">
        <v>6</v>
      </c>
      <c r="B17" s="45" t="s">
        <v>32</v>
      </c>
      <c r="C17" s="41">
        <v>23268</v>
      </c>
      <c r="D17" s="42">
        <v>80</v>
      </c>
      <c r="E17" s="41">
        <v>116.02</v>
      </c>
      <c r="F17" s="43">
        <v>114.95</v>
      </c>
      <c r="G17" s="43">
        <v>1.06999999999999</v>
      </c>
      <c r="H17" s="41">
        <v>0</v>
      </c>
      <c r="I17" s="42">
        <v>0</v>
      </c>
      <c r="J17" s="41">
        <v>0</v>
      </c>
      <c r="K17" s="43">
        <v>0</v>
      </c>
      <c r="L17" s="43">
        <v>0</v>
      </c>
      <c r="M17" s="41">
        <v>1877.8</v>
      </c>
      <c r="N17" s="42">
        <v>6</v>
      </c>
      <c r="O17" s="41">
        <v>3.75</v>
      </c>
      <c r="P17" s="52">
        <v>496.25</v>
      </c>
      <c r="Q17" s="43">
        <v>3.75</v>
      </c>
      <c r="R17" s="43">
        <v>0</v>
      </c>
      <c r="S17" s="34">
        <v>119.77</v>
      </c>
      <c r="T17" s="43">
        <v>118.7</v>
      </c>
      <c r="U17" s="43">
        <v>1.06999999999999</v>
      </c>
      <c r="V17" s="62"/>
      <c r="W17" s="32">
        <f>VLOOKUP(B17,'常规业务5-6'!$B$5:$V$61,21,0)</f>
        <v>0</v>
      </c>
    </row>
    <row r="18" customHeight="1" spans="1:23">
      <c r="A18" s="39">
        <v>7</v>
      </c>
      <c r="B18" s="45" t="s">
        <v>33</v>
      </c>
      <c r="C18" s="41">
        <v>3973</v>
      </c>
      <c r="D18" s="42">
        <v>17</v>
      </c>
      <c r="E18" s="41">
        <v>19.59</v>
      </c>
      <c r="F18" s="43">
        <v>19.59</v>
      </c>
      <c r="G18" s="43">
        <v>0</v>
      </c>
      <c r="H18" s="41">
        <v>0</v>
      </c>
      <c r="I18" s="42">
        <v>0</v>
      </c>
      <c r="J18" s="41">
        <v>0</v>
      </c>
      <c r="K18" s="43">
        <v>0</v>
      </c>
      <c r="L18" s="43">
        <v>0</v>
      </c>
      <c r="M18" s="41">
        <v>0</v>
      </c>
      <c r="N18" s="42">
        <v>0</v>
      </c>
      <c r="O18" s="41">
        <v>0</v>
      </c>
      <c r="P18" s="52">
        <v>500</v>
      </c>
      <c r="Q18" s="43">
        <v>0</v>
      </c>
      <c r="R18" s="43">
        <v>0</v>
      </c>
      <c r="S18" s="34">
        <v>19.59</v>
      </c>
      <c r="T18" s="43">
        <v>19.59</v>
      </c>
      <c r="U18" s="43">
        <v>0</v>
      </c>
      <c r="V18" s="62"/>
      <c r="W18" s="32">
        <f>VLOOKUP(B18,'常规业务5-6'!$B$5:$V$61,21,0)</f>
        <v>0</v>
      </c>
    </row>
    <row r="19" customHeight="1" spans="1:23">
      <c r="A19" s="39">
        <v>8</v>
      </c>
      <c r="B19" s="45" t="s">
        <v>35</v>
      </c>
      <c r="C19" s="41">
        <v>740</v>
      </c>
      <c r="D19" s="42">
        <v>4</v>
      </c>
      <c r="E19" s="41">
        <v>3.47</v>
      </c>
      <c r="F19" s="43">
        <v>3.47</v>
      </c>
      <c r="G19" s="43">
        <v>0</v>
      </c>
      <c r="H19" s="41">
        <v>0</v>
      </c>
      <c r="I19" s="42">
        <v>0</v>
      </c>
      <c r="J19" s="41">
        <v>0</v>
      </c>
      <c r="K19" s="43">
        <v>0</v>
      </c>
      <c r="L19" s="43">
        <v>0</v>
      </c>
      <c r="M19" s="41">
        <v>0</v>
      </c>
      <c r="N19" s="42">
        <v>0</v>
      </c>
      <c r="O19" s="41">
        <v>0</v>
      </c>
      <c r="P19" s="52">
        <v>500</v>
      </c>
      <c r="Q19" s="43">
        <v>0</v>
      </c>
      <c r="R19" s="43">
        <v>0</v>
      </c>
      <c r="S19" s="34">
        <v>3.47</v>
      </c>
      <c r="T19" s="43">
        <v>3.47</v>
      </c>
      <c r="U19" s="43">
        <v>0</v>
      </c>
      <c r="V19" s="62"/>
      <c r="W19" s="32">
        <f>VLOOKUP(B19,'常规业务5-6'!$B$5:$V$61,21,0)</f>
        <v>0</v>
      </c>
    </row>
    <row r="20" customHeight="1" spans="1:23">
      <c r="A20" s="39">
        <v>9</v>
      </c>
      <c r="B20" s="45" t="s">
        <v>36</v>
      </c>
      <c r="C20" s="41">
        <v>14825</v>
      </c>
      <c r="D20" s="42">
        <v>54</v>
      </c>
      <c r="E20" s="41">
        <v>70.24</v>
      </c>
      <c r="F20" s="43">
        <v>70.24</v>
      </c>
      <c r="G20" s="43">
        <v>0</v>
      </c>
      <c r="H20" s="41">
        <v>3930</v>
      </c>
      <c r="I20" s="42">
        <v>5</v>
      </c>
      <c r="J20" s="41">
        <v>19.62</v>
      </c>
      <c r="K20" s="43">
        <v>19.62</v>
      </c>
      <c r="L20" s="43">
        <v>0</v>
      </c>
      <c r="M20" s="41">
        <v>0</v>
      </c>
      <c r="N20" s="42">
        <v>0</v>
      </c>
      <c r="O20" s="41">
        <v>0</v>
      </c>
      <c r="P20" s="52">
        <v>500</v>
      </c>
      <c r="Q20" s="43">
        <v>0</v>
      </c>
      <c r="R20" s="43">
        <v>0</v>
      </c>
      <c r="S20" s="34">
        <v>89.86</v>
      </c>
      <c r="T20" s="43">
        <v>89.86</v>
      </c>
      <c r="U20" s="43">
        <v>0</v>
      </c>
      <c r="V20" s="62"/>
      <c r="W20" s="32">
        <f>VLOOKUP(B20,'常规业务5-6'!$B$5:$V$61,21,0)</f>
        <v>0</v>
      </c>
    </row>
    <row r="21" customHeight="1" spans="1:23">
      <c r="A21" s="39">
        <v>10</v>
      </c>
      <c r="B21" s="45" t="s">
        <v>37</v>
      </c>
      <c r="C21" s="41">
        <v>10380</v>
      </c>
      <c r="D21" s="42">
        <v>33</v>
      </c>
      <c r="E21" s="41">
        <v>51.67</v>
      </c>
      <c r="F21" s="43">
        <v>51.67</v>
      </c>
      <c r="G21" s="43">
        <v>0</v>
      </c>
      <c r="H21" s="41">
        <v>3270</v>
      </c>
      <c r="I21" s="42">
        <v>4</v>
      </c>
      <c r="J21" s="41">
        <v>16.26</v>
      </c>
      <c r="K21" s="43">
        <v>16.26</v>
      </c>
      <c r="L21" s="43">
        <v>0</v>
      </c>
      <c r="M21" s="41">
        <v>0</v>
      </c>
      <c r="N21" s="42">
        <v>0</v>
      </c>
      <c r="O21" s="41">
        <v>0</v>
      </c>
      <c r="P21" s="52">
        <v>500</v>
      </c>
      <c r="Q21" s="43">
        <v>0</v>
      </c>
      <c r="R21" s="43">
        <v>0</v>
      </c>
      <c r="S21" s="34">
        <v>67.93</v>
      </c>
      <c r="T21" s="43">
        <v>67.93</v>
      </c>
      <c r="U21" s="43">
        <v>0</v>
      </c>
      <c r="V21" s="62"/>
      <c r="W21" s="32" t="e">
        <f>VLOOKUP(B21,'常规业务5-6'!$B$5:$V$61,21,0)</f>
        <v>#N/A</v>
      </c>
    </row>
    <row r="22" customHeight="1" spans="1:23">
      <c r="A22" s="39">
        <v>11</v>
      </c>
      <c r="B22" s="45" t="s">
        <v>40</v>
      </c>
      <c r="C22" s="41">
        <v>1300</v>
      </c>
      <c r="D22" s="42">
        <v>45</v>
      </c>
      <c r="E22" s="41">
        <v>6.55</v>
      </c>
      <c r="F22" s="43">
        <v>6.54999999999999</v>
      </c>
      <c r="G22" s="43">
        <v>9.76996261670138e-15</v>
      </c>
      <c r="H22" s="41">
        <v>0</v>
      </c>
      <c r="I22" s="42">
        <v>0</v>
      </c>
      <c r="J22" s="41">
        <v>0</v>
      </c>
      <c r="K22" s="43">
        <v>0</v>
      </c>
      <c r="L22" s="43">
        <v>0</v>
      </c>
      <c r="M22" s="41">
        <v>0</v>
      </c>
      <c r="N22" s="42">
        <v>0</v>
      </c>
      <c r="O22" s="41">
        <v>0</v>
      </c>
      <c r="P22" s="52">
        <v>500</v>
      </c>
      <c r="Q22" s="43">
        <v>0</v>
      </c>
      <c r="R22" s="43">
        <v>0</v>
      </c>
      <c r="S22" s="34">
        <v>6.55</v>
      </c>
      <c r="T22" s="43">
        <v>6.54999999999999</v>
      </c>
      <c r="U22" s="43">
        <v>0</v>
      </c>
      <c r="V22" s="62"/>
      <c r="W22" s="32">
        <f>VLOOKUP(B22,'常规业务5-6'!$B$5:$V$61,21,0)</f>
        <v>0</v>
      </c>
    </row>
    <row r="23" customHeight="1" spans="1:23">
      <c r="A23" s="39">
        <v>12</v>
      </c>
      <c r="B23" s="45" t="s">
        <v>43</v>
      </c>
      <c r="C23" s="41">
        <v>10360</v>
      </c>
      <c r="D23" s="42">
        <v>28</v>
      </c>
      <c r="E23" s="41">
        <v>51.16</v>
      </c>
      <c r="F23" s="43">
        <v>46.6</v>
      </c>
      <c r="G23" s="43">
        <v>4.56</v>
      </c>
      <c r="H23" s="41">
        <v>8510</v>
      </c>
      <c r="I23" s="42">
        <v>9</v>
      </c>
      <c r="J23" s="41">
        <v>42.43</v>
      </c>
      <c r="K23" s="43">
        <v>37.67</v>
      </c>
      <c r="L23" s="43">
        <v>4.76</v>
      </c>
      <c r="M23" s="41">
        <v>45195.5</v>
      </c>
      <c r="N23" s="42">
        <v>336</v>
      </c>
      <c r="O23" s="41">
        <v>90.37</v>
      </c>
      <c r="P23" s="52">
        <v>409.63</v>
      </c>
      <c r="Q23" s="43">
        <v>90.2400000000001</v>
      </c>
      <c r="R23" s="43">
        <v>0.12999999999991</v>
      </c>
      <c r="S23" s="34">
        <v>183.96</v>
      </c>
      <c r="T23" s="43">
        <v>174.51</v>
      </c>
      <c r="U23" s="43">
        <v>9.4499999999999</v>
      </c>
      <c r="V23" s="62"/>
      <c r="W23" s="32">
        <f>VLOOKUP(B23,'常规业务5-6'!$B$5:$V$61,21,0)</f>
        <v>0</v>
      </c>
    </row>
    <row r="24" customHeight="1" spans="1:23">
      <c r="A24" s="39">
        <v>13</v>
      </c>
      <c r="B24" s="45" t="s">
        <v>44</v>
      </c>
      <c r="C24" s="41">
        <v>5748</v>
      </c>
      <c r="D24" s="42">
        <v>72</v>
      </c>
      <c r="E24" s="41">
        <v>28.74</v>
      </c>
      <c r="F24" s="43">
        <v>25.74</v>
      </c>
      <c r="G24" s="43">
        <v>3</v>
      </c>
      <c r="H24" s="41">
        <v>0</v>
      </c>
      <c r="I24" s="42">
        <v>0</v>
      </c>
      <c r="J24" s="41">
        <v>0</v>
      </c>
      <c r="K24" s="43">
        <v>0</v>
      </c>
      <c r="L24" s="43">
        <v>0</v>
      </c>
      <c r="M24" s="41">
        <v>0</v>
      </c>
      <c r="N24" s="42">
        <v>0</v>
      </c>
      <c r="O24" s="41">
        <v>0</v>
      </c>
      <c r="P24" s="52">
        <v>500</v>
      </c>
      <c r="Q24" s="43">
        <v>0</v>
      </c>
      <c r="R24" s="43">
        <v>0</v>
      </c>
      <c r="S24" s="34">
        <v>28.74</v>
      </c>
      <c r="T24" s="43">
        <v>25.74</v>
      </c>
      <c r="U24" s="43">
        <v>3</v>
      </c>
      <c r="V24" s="62"/>
      <c r="W24" s="32">
        <f>VLOOKUP(B24,'常规业务5-6'!$B$5:$V$61,21,0)</f>
        <v>0</v>
      </c>
    </row>
    <row r="25" customHeight="1" spans="1:23">
      <c r="A25" s="39">
        <v>14</v>
      </c>
      <c r="B25" s="47" t="s">
        <v>45</v>
      </c>
      <c r="C25" s="41">
        <v>5425.8</v>
      </c>
      <c r="D25" s="42">
        <v>16</v>
      </c>
      <c r="E25" s="41">
        <v>25.72</v>
      </c>
      <c r="F25" s="43">
        <v>25.72</v>
      </c>
      <c r="G25" s="43">
        <v>0</v>
      </c>
      <c r="H25" s="41">
        <v>700</v>
      </c>
      <c r="I25" s="42">
        <v>1</v>
      </c>
      <c r="J25" s="41">
        <v>3.5</v>
      </c>
      <c r="K25" s="43">
        <v>3.5</v>
      </c>
      <c r="L25" s="43">
        <v>0</v>
      </c>
      <c r="M25" s="41">
        <v>0</v>
      </c>
      <c r="N25" s="42">
        <v>0</v>
      </c>
      <c r="O25" s="41">
        <v>0</v>
      </c>
      <c r="P25" s="52">
        <v>500</v>
      </c>
      <c r="Q25" s="43">
        <v>0</v>
      </c>
      <c r="R25" s="43">
        <v>0</v>
      </c>
      <c r="S25" s="34">
        <v>29.22</v>
      </c>
      <c r="T25" s="43">
        <v>29.22</v>
      </c>
      <c r="U25" s="43">
        <v>0</v>
      </c>
      <c r="V25" s="62"/>
      <c r="W25" s="32">
        <f>VLOOKUP(B25,'常规业务5-6'!$B$5:$V$61,21,0)</f>
        <v>0</v>
      </c>
    </row>
    <row r="26" customHeight="1" spans="1:23">
      <c r="A26" s="39">
        <v>15</v>
      </c>
      <c r="B26" s="47" t="s">
        <v>46</v>
      </c>
      <c r="C26" s="41">
        <v>11054</v>
      </c>
      <c r="D26" s="42">
        <v>48</v>
      </c>
      <c r="E26" s="41">
        <v>54.05</v>
      </c>
      <c r="F26" s="43">
        <v>31.63</v>
      </c>
      <c r="G26" s="43">
        <v>22.42</v>
      </c>
      <c r="H26" s="41">
        <v>7400</v>
      </c>
      <c r="I26" s="42">
        <v>8</v>
      </c>
      <c r="J26" s="41">
        <v>36.97</v>
      </c>
      <c r="K26" s="43">
        <v>32.97</v>
      </c>
      <c r="L26" s="43">
        <v>4</v>
      </c>
      <c r="M26" s="41">
        <v>0</v>
      </c>
      <c r="N26" s="42">
        <v>0</v>
      </c>
      <c r="O26" s="41">
        <v>0</v>
      </c>
      <c r="P26" s="52">
        <v>500</v>
      </c>
      <c r="Q26" s="43">
        <v>0</v>
      </c>
      <c r="R26" s="43">
        <v>0</v>
      </c>
      <c r="S26" s="34">
        <v>91.02</v>
      </c>
      <c r="T26" s="43">
        <v>64.6</v>
      </c>
      <c r="U26" s="43">
        <v>26.42</v>
      </c>
      <c r="V26" s="62"/>
      <c r="W26" s="32">
        <f>VLOOKUP(B26,'常规业务5-6'!$B$5:$V$61,21,0)</f>
        <v>0</v>
      </c>
    </row>
    <row r="27" customHeight="1" spans="1:23">
      <c r="A27" s="39">
        <v>16</v>
      </c>
      <c r="B27" s="47" t="s">
        <v>48</v>
      </c>
      <c r="C27" s="41">
        <v>850</v>
      </c>
      <c r="D27" s="42">
        <v>2</v>
      </c>
      <c r="E27" s="41">
        <v>4.25</v>
      </c>
      <c r="F27" s="43">
        <v>4.25</v>
      </c>
      <c r="G27" s="43">
        <v>0</v>
      </c>
      <c r="H27" s="41">
        <v>1300</v>
      </c>
      <c r="I27" s="42">
        <v>2</v>
      </c>
      <c r="J27" s="41">
        <v>6.5</v>
      </c>
      <c r="K27" s="43">
        <v>6.5</v>
      </c>
      <c r="L27" s="43">
        <v>0</v>
      </c>
      <c r="M27" s="41">
        <v>0</v>
      </c>
      <c r="N27" s="41">
        <v>0</v>
      </c>
      <c r="O27" s="41">
        <v>0</v>
      </c>
      <c r="P27" s="52">
        <v>500</v>
      </c>
      <c r="Q27" s="43">
        <v>0</v>
      </c>
      <c r="R27" s="43">
        <v>0</v>
      </c>
      <c r="S27" s="34">
        <v>10.75</v>
      </c>
      <c r="T27" s="43">
        <v>10.75</v>
      </c>
      <c r="U27" s="43">
        <v>0</v>
      </c>
      <c r="V27" s="62"/>
      <c r="W27" s="32">
        <f>VLOOKUP(B27,'常规业务5-6'!$B$5:$V$61,21,0)</f>
        <v>0</v>
      </c>
    </row>
    <row r="28" customHeight="1" spans="1:23">
      <c r="A28" s="39">
        <v>17</v>
      </c>
      <c r="B28" s="47" t="s">
        <v>61</v>
      </c>
      <c r="C28" s="41">
        <v>1880</v>
      </c>
      <c r="D28" s="42">
        <v>5</v>
      </c>
      <c r="E28" s="41">
        <v>9.4</v>
      </c>
      <c r="F28" s="43">
        <v>4.9</v>
      </c>
      <c r="G28" s="43">
        <v>4.5</v>
      </c>
      <c r="H28" s="41">
        <v>2350</v>
      </c>
      <c r="I28" s="41">
        <v>3</v>
      </c>
      <c r="J28" s="41">
        <v>11.75</v>
      </c>
      <c r="K28" s="43">
        <v>4</v>
      </c>
      <c r="L28" s="43">
        <v>7.75</v>
      </c>
      <c r="M28" s="41">
        <v>0</v>
      </c>
      <c r="N28" s="41">
        <v>0</v>
      </c>
      <c r="O28" s="41">
        <v>0</v>
      </c>
      <c r="P28" s="52">
        <v>500</v>
      </c>
      <c r="Q28" s="43">
        <v>0</v>
      </c>
      <c r="R28" s="43">
        <v>0</v>
      </c>
      <c r="S28" s="34">
        <v>21.15</v>
      </c>
      <c r="T28" s="43">
        <v>8.9</v>
      </c>
      <c r="U28" s="43">
        <v>12.25</v>
      </c>
      <c r="V28" s="62"/>
      <c r="W28" s="32">
        <f>VLOOKUP(B28,'常规业务5-6'!$B$5:$V$61,21,0)</f>
        <v>0</v>
      </c>
    </row>
    <row r="29" customHeight="1" spans="1:23">
      <c r="A29" s="44">
        <v>18</v>
      </c>
      <c r="B29" s="47" t="s">
        <v>47</v>
      </c>
      <c r="C29" s="41">
        <v>4677</v>
      </c>
      <c r="D29" s="42">
        <v>18</v>
      </c>
      <c r="E29" s="41">
        <v>23.24</v>
      </c>
      <c r="F29" s="43">
        <v>21.72</v>
      </c>
      <c r="G29" s="43">
        <v>1.52</v>
      </c>
      <c r="H29" s="41">
        <v>4500</v>
      </c>
      <c r="I29" s="42">
        <v>5</v>
      </c>
      <c r="J29" s="41">
        <v>22.42</v>
      </c>
      <c r="K29" s="43">
        <v>22.42</v>
      </c>
      <c r="L29" s="43">
        <v>0</v>
      </c>
      <c r="M29" s="41">
        <v>0</v>
      </c>
      <c r="N29" s="42">
        <v>0</v>
      </c>
      <c r="O29" s="41">
        <v>0</v>
      </c>
      <c r="P29" s="52">
        <v>500</v>
      </c>
      <c r="Q29" s="43">
        <v>0</v>
      </c>
      <c r="R29" s="43">
        <v>0</v>
      </c>
      <c r="S29" s="34">
        <v>45.66</v>
      </c>
      <c r="T29" s="43">
        <v>44.14</v>
      </c>
      <c r="U29" s="43">
        <v>1.52</v>
      </c>
      <c r="V29" s="62"/>
      <c r="W29" s="32">
        <f>VLOOKUP(B29,'常规业务5-6'!$B$5:$V$61,21,0)</f>
        <v>0</v>
      </c>
    </row>
    <row r="30" customHeight="1" spans="1:23">
      <c r="A30" s="39">
        <v>1</v>
      </c>
      <c r="B30" s="47" t="s">
        <v>51</v>
      </c>
      <c r="C30" s="41">
        <v>10</v>
      </c>
      <c r="D30" s="42">
        <v>1</v>
      </c>
      <c r="E30" s="41">
        <v>0.05</v>
      </c>
      <c r="F30" s="43">
        <v>0.05</v>
      </c>
      <c r="G30" s="43">
        <v>0</v>
      </c>
      <c r="H30" s="41">
        <v>0</v>
      </c>
      <c r="I30" s="42">
        <v>0</v>
      </c>
      <c r="J30" s="41">
        <v>0</v>
      </c>
      <c r="K30" s="43">
        <v>0</v>
      </c>
      <c r="L30" s="43">
        <v>0</v>
      </c>
      <c r="M30" s="41">
        <v>95209.4</v>
      </c>
      <c r="N30" s="42">
        <v>836</v>
      </c>
      <c r="O30" s="41">
        <v>190.079999999998</v>
      </c>
      <c r="P30" s="52">
        <v>309.920000000002</v>
      </c>
      <c r="Q30" s="43">
        <v>190.079999999998</v>
      </c>
      <c r="R30" s="43">
        <v>0</v>
      </c>
      <c r="S30" s="34">
        <v>190.129999999998</v>
      </c>
      <c r="T30" s="43">
        <v>190.129999999998</v>
      </c>
      <c r="U30" s="43">
        <v>0</v>
      </c>
      <c r="V30" s="62"/>
      <c r="W30" s="32">
        <f>VLOOKUP(B30,'常规业务5-6'!$B$5:$V$61,21,0)</f>
        <v>0</v>
      </c>
    </row>
    <row r="31" customHeight="1" spans="1:23">
      <c r="A31" s="39">
        <v>2</v>
      </c>
      <c r="B31" s="47" t="s">
        <v>65</v>
      </c>
      <c r="C31" s="41">
        <v>650</v>
      </c>
      <c r="D31" s="42">
        <v>2</v>
      </c>
      <c r="E31" s="41">
        <v>3.02</v>
      </c>
      <c r="F31" s="43">
        <v>3.02</v>
      </c>
      <c r="G31" s="43">
        <v>0</v>
      </c>
      <c r="H31" s="41">
        <v>0</v>
      </c>
      <c r="I31" s="42">
        <v>0</v>
      </c>
      <c r="J31" s="41">
        <v>0</v>
      </c>
      <c r="K31" s="43">
        <v>0</v>
      </c>
      <c r="L31" s="43">
        <v>0</v>
      </c>
      <c r="M31" s="41">
        <v>0</v>
      </c>
      <c r="N31" s="41">
        <v>0</v>
      </c>
      <c r="O31" s="41">
        <v>0</v>
      </c>
      <c r="P31" s="52">
        <v>500</v>
      </c>
      <c r="Q31" s="43">
        <v>0</v>
      </c>
      <c r="R31" s="43">
        <v>0</v>
      </c>
      <c r="S31" s="34">
        <v>3.02</v>
      </c>
      <c r="T31" s="43">
        <v>3.02</v>
      </c>
      <c r="U31" s="43">
        <v>0</v>
      </c>
      <c r="V31" s="62"/>
      <c r="W31" s="32">
        <f>VLOOKUP(B31,'常规业务5-6'!$B$5:$V$61,21,0)</f>
        <v>0</v>
      </c>
    </row>
    <row r="32" customHeight="1" spans="1:23">
      <c r="A32" s="39">
        <v>3</v>
      </c>
      <c r="B32" s="47" t="s">
        <v>54</v>
      </c>
      <c r="C32" s="41">
        <v>7142</v>
      </c>
      <c r="D32" s="42">
        <v>25</v>
      </c>
      <c r="E32" s="41">
        <v>34.19</v>
      </c>
      <c r="F32" s="43">
        <v>25.66</v>
      </c>
      <c r="G32" s="43">
        <v>8.53</v>
      </c>
      <c r="H32" s="41">
        <v>3400</v>
      </c>
      <c r="I32" s="42">
        <v>4</v>
      </c>
      <c r="J32" s="41">
        <v>16.95</v>
      </c>
      <c r="K32" s="43">
        <v>16.95</v>
      </c>
      <c r="L32" s="43">
        <v>0</v>
      </c>
      <c r="M32" s="41">
        <v>83042.89</v>
      </c>
      <c r="N32" s="42">
        <v>621</v>
      </c>
      <c r="O32" s="41">
        <v>165.4</v>
      </c>
      <c r="P32" s="52">
        <v>334.6</v>
      </c>
      <c r="Q32" s="43">
        <v>165.4</v>
      </c>
      <c r="R32" s="43">
        <v>0</v>
      </c>
      <c r="S32" s="34">
        <v>216.54</v>
      </c>
      <c r="T32" s="43">
        <v>208.01</v>
      </c>
      <c r="U32" s="43">
        <v>8.53</v>
      </c>
      <c r="V32" s="62" t="s">
        <v>98</v>
      </c>
      <c r="W32" s="32">
        <f>VLOOKUP(B32,'常规业务5-6'!$B$5:$V$61,21,0)</f>
        <v>0</v>
      </c>
    </row>
    <row r="33" customHeight="1" spans="1:23">
      <c r="A33" s="39">
        <v>4</v>
      </c>
      <c r="B33" s="47" t="s">
        <v>53</v>
      </c>
      <c r="C33" s="41">
        <v>4500.6</v>
      </c>
      <c r="D33" s="42">
        <v>12</v>
      </c>
      <c r="E33" s="41">
        <v>19.64</v>
      </c>
      <c r="F33" s="43">
        <v>19.64</v>
      </c>
      <c r="G33" s="43">
        <v>0</v>
      </c>
      <c r="H33" s="41">
        <v>5150</v>
      </c>
      <c r="I33" s="42">
        <v>7</v>
      </c>
      <c r="J33" s="41">
        <v>25.71</v>
      </c>
      <c r="K33" s="43">
        <v>19.71</v>
      </c>
      <c r="L33" s="43">
        <v>6</v>
      </c>
      <c r="M33" s="41">
        <v>0</v>
      </c>
      <c r="N33" s="42">
        <v>0</v>
      </c>
      <c r="O33" s="41">
        <v>0</v>
      </c>
      <c r="P33" s="52">
        <v>500</v>
      </c>
      <c r="Q33" s="43">
        <v>0</v>
      </c>
      <c r="R33" s="43">
        <v>0</v>
      </c>
      <c r="S33" s="34">
        <v>45.35</v>
      </c>
      <c r="T33" s="43">
        <v>39.35</v>
      </c>
      <c r="U33" s="43">
        <v>6</v>
      </c>
      <c r="V33" s="62" t="s">
        <v>99</v>
      </c>
      <c r="W33" s="32">
        <f>VLOOKUP(B33,'常规业务5-6'!$B$5:$V$61,21,0)</f>
        <v>0</v>
      </c>
    </row>
    <row r="34" customHeight="1" spans="1:23">
      <c r="A34" s="39">
        <v>5</v>
      </c>
      <c r="B34" s="47" t="s">
        <v>72</v>
      </c>
      <c r="C34" s="41">
        <v>500</v>
      </c>
      <c r="D34" s="42">
        <v>1</v>
      </c>
      <c r="E34" s="41">
        <v>2.5</v>
      </c>
      <c r="F34" s="43">
        <v>2.5</v>
      </c>
      <c r="G34" s="43">
        <v>0</v>
      </c>
      <c r="H34" s="41">
        <v>0</v>
      </c>
      <c r="I34" s="42">
        <v>0</v>
      </c>
      <c r="J34" s="41">
        <v>0</v>
      </c>
      <c r="K34" s="43">
        <v>0</v>
      </c>
      <c r="L34" s="43">
        <v>0</v>
      </c>
      <c r="M34" s="41">
        <v>0</v>
      </c>
      <c r="N34" s="41">
        <v>0</v>
      </c>
      <c r="O34" s="41">
        <v>0</v>
      </c>
      <c r="P34" s="52">
        <v>500</v>
      </c>
      <c r="Q34" s="43">
        <v>0</v>
      </c>
      <c r="R34" s="43">
        <v>0</v>
      </c>
      <c r="S34" s="34">
        <v>2.5</v>
      </c>
      <c r="T34" s="43">
        <v>2.5</v>
      </c>
      <c r="U34" s="43">
        <v>0</v>
      </c>
      <c r="V34" s="62"/>
      <c r="W34" s="32">
        <f>VLOOKUP(B34,'常规业务5-6'!$B$5:$V$61,21,0)</f>
        <v>0</v>
      </c>
    </row>
    <row r="35" customHeight="1" spans="1:23">
      <c r="A35" s="39">
        <v>6</v>
      </c>
      <c r="B35" s="47" t="s">
        <v>50</v>
      </c>
      <c r="C35" s="41">
        <v>9748</v>
      </c>
      <c r="D35" s="42">
        <v>194</v>
      </c>
      <c r="E35" s="41">
        <v>49.41</v>
      </c>
      <c r="F35" s="43">
        <v>49.36</v>
      </c>
      <c r="G35" s="43">
        <v>0.0499999999999972</v>
      </c>
      <c r="H35" s="41">
        <v>4700</v>
      </c>
      <c r="I35" s="42">
        <v>7</v>
      </c>
      <c r="J35" s="41">
        <v>21.14</v>
      </c>
      <c r="K35" s="43">
        <v>21.14</v>
      </c>
      <c r="L35" s="43">
        <v>0</v>
      </c>
      <c r="M35" s="41">
        <v>0</v>
      </c>
      <c r="N35" s="42">
        <v>0</v>
      </c>
      <c r="O35" s="41">
        <v>0</v>
      </c>
      <c r="P35" s="52">
        <v>500</v>
      </c>
      <c r="Q35" s="43">
        <v>0</v>
      </c>
      <c r="R35" s="43">
        <v>0</v>
      </c>
      <c r="S35" s="34">
        <v>70.55</v>
      </c>
      <c r="T35" s="43">
        <v>70.5</v>
      </c>
      <c r="U35" s="43">
        <v>0.0499999999999972</v>
      </c>
      <c r="V35" s="62" t="s">
        <v>100</v>
      </c>
      <c r="W35" s="32">
        <f>VLOOKUP(B35,'常规业务5-6'!$B$5:$V$61,21,0)</f>
        <v>0</v>
      </c>
    </row>
    <row r="36" customHeight="1" spans="1:23">
      <c r="A36" s="39">
        <v>7</v>
      </c>
      <c r="B36" s="47" t="s">
        <v>60</v>
      </c>
      <c r="C36" s="41">
        <v>14842</v>
      </c>
      <c r="D36" s="42">
        <v>77</v>
      </c>
      <c r="E36" s="41">
        <v>74.06</v>
      </c>
      <c r="F36" s="43">
        <v>74.06</v>
      </c>
      <c r="G36" s="43">
        <v>0</v>
      </c>
      <c r="H36" s="41">
        <v>3500</v>
      </c>
      <c r="I36" s="42">
        <v>4</v>
      </c>
      <c r="J36" s="41">
        <v>17.5</v>
      </c>
      <c r="K36" s="43">
        <v>17.5</v>
      </c>
      <c r="L36" s="43">
        <v>0</v>
      </c>
      <c r="M36" s="41">
        <v>0</v>
      </c>
      <c r="N36" s="42">
        <v>0</v>
      </c>
      <c r="O36" s="41">
        <v>0</v>
      </c>
      <c r="P36" s="52">
        <v>500</v>
      </c>
      <c r="Q36" s="43">
        <v>0</v>
      </c>
      <c r="R36" s="43">
        <v>0</v>
      </c>
      <c r="S36" s="34">
        <v>91.56</v>
      </c>
      <c r="T36" s="43">
        <v>91.56</v>
      </c>
      <c r="U36" s="43">
        <v>0</v>
      </c>
      <c r="V36" s="62"/>
      <c r="W36" s="32">
        <f>VLOOKUP(B36,'常规业务5-6'!$B$5:$V$61,21,0)</f>
        <v>0</v>
      </c>
    </row>
    <row r="37" customHeight="1" spans="1:23">
      <c r="A37" s="39">
        <v>8</v>
      </c>
      <c r="B37" s="47" t="s">
        <v>69</v>
      </c>
      <c r="C37" s="41">
        <v>1040</v>
      </c>
      <c r="D37" s="42">
        <v>3</v>
      </c>
      <c r="E37" s="41">
        <v>5.2</v>
      </c>
      <c r="F37" s="43">
        <v>5.2</v>
      </c>
      <c r="G37" s="43">
        <v>0</v>
      </c>
      <c r="H37" s="41">
        <v>0</v>
      </c>
      <c r="I37" s="42">
        <v>0</v>
      </c>
      <c r="J37" s="41">
        <v>0</v>
      </c>
      <c r="K37" s="43">
        <v>0</v>
      </c>
      <c r="L37" s="43">
        <v>0</v>
      </c>
      <c r="M37" s="41">
        <v>0</v>
      </c>
      <c r="N37" s="42">
        <v>0</v>
      </c>
      <c r="O37" s="41">
        <v>0</v>
      </c>
      <c r="P37" s="52">
        <v>500</v>
      </c>
      <c r="Q37" s="43">
        <v>0</v>
      </c>
      <c r="R37" s="43">
        <v>0</v>
      </c>
      <c r="S37" s="34">
        <v>5.2</v>
      </c>
      <c r="T37" s="43">
        <v>5.2</v>
      </c>
      <c r="U37" s="43">
        <v>0</v>
      </c>
      <c r="V37" s="62"/>
      <c r="W37" s="32">
        <f>VLOOKUP(B37,'常规业务5-6'!$B$5:$V$61,21,0)</f>
        <v>0</v>
      </c>
    </row>
    <row r="38" customHeight="1" spans="1:23">
      <c r="A38" s="39">
        <v>9</v>
      </c>
      <c r="B38" s="47" t="s">
        <v>62</v>
      </c>
      <c r="C38" s="41">
        <v>6708</v>
      </c>
      <c r="D38" s="42">
        <v>34</v>
      </c>
      <c r="E38" s="41">
        <v>33.45</v>
      </c>
      <c r="F38" s="43">
        <v>32.56</v>
      </c>
      <c r="G38" s="43">
        <v>0.890000000000001</v>
      </c>
      <c r="H38" s="41">
        <v>0</v>
      </c>
      <c r="I38" s="42">
        <v>0</v>
      </c>
      <c r="J38" s="41">
        <v>0</v>
      </c>
      <c r="K38" s="43">
        <v>0</v>
      </c>
      <c r="L38" s="43">
        <v>0</v>
      </c>
      <c r="M38" s="41">
        <v>56852.1</v>
      </c>
      <c r="N38" s="41">
        <v>402</v>
      </c>
      <c r="O38" s="41">
        <v>112.81</v>
      </c>
      <c r="P38" s="52">
        <v>387.19</v>
      </c>
      <c r="Q38" s="41">
        <v>112.81</v>
      </c>
      <c r="R38" s="43">
        <v>0</v>
      </c>
      <c r="S38" s="34">
        <v>146.26</v>
      </c>
      <c r="T38" s="43">
        <v>145.37</v>
      </c>
      <c r="U38" s="43">
        <v>0.890000000000001</v>
      </c>
      <c r="V38" s="62" t="s">
        <v>101</v>
      </c>
      <c r="W38" s="32">
        <f>VLOOKUP(B38,'常规业务5-6'!$B$5:$V$61,21,0)</f>
        <v>0</v>
      </c>
    </row>
    <row r="39" customHeight="1" spans="1:23">
      <c r="A39" s="39">
        <v>10</v>
      </c>
      <c r="B39" s="47" t="s">
        <v>58</v>
      </c>
      <c r="C39" s="41">
        <v>6144</v>
      </c>
      <c r="D39" s="42">
        <v>30</v>
      </c>
      <c r="E39" s="41">
        <v>30.72</v>
      </c>
      <c r="F39" s="43">
        <v>30.72</v>
      </c>
      <c r="G39" s="43">
        <v>0</v>
      </c>
      <c r="H39" s="41">
        <v>3899</v>
      </c>
      <c r="I39" s="42">
        <v>4</v>
      </c>
      <c r="J39" s="41">
        <v>19.5</v>
      </c>
      <c r="K39" s="43">
        <v>19.5</v>
      </c>
      <c r="L39" s="43">
        <v>0</v>
      </c>
      <c r="M39" s="41">
        <v>1501</v>
      </c>
      <c r="N39" s="41">
        <v>5</v>
      </c>
      <c r="O39" s="41">
        <v>3</v>
      </c>
      <c r="P39" s="52">
        <v>497</v>
      </c>
      <c r="Q39" s="41">
        <v>3</v>
      </c>
      <c r="R39" s="43">
        <v>0</v>
      </c>
      <c r="S39" s="34">
        <v>53.22</v>
      </c>
      <c r="T39" s="43">
        <v>53.22</v>
      </c>
      <c r="U39" s="43">
        <v>0</v>
      </c>
      <c r="V39" s="62"/>
      <c r="W39" s="32">
        <f>VLOOKUP(B39,'常规业务5-6'!$B$5:$V$61,21,0)</f>
        <v>0</v>
      </c>
    </row>
    <row r="40" customHeight="1" spans="1:23">
      <c r="A40" s="39">
        <v>11</v>
      </c>
      <c r="B40" s="47" t="s">
        <v>73</v>
      </c>
      <c r="C40" s="41">
        <v>5095</v>
      </c>
      <c r="D40" s="42">
        <v>28</v>
      </c>
      <c r="E40" s="41">
        <v>25.48</v>
      </c>
      <c r="F40" s="43">
        <v>25.48</v>
      </c>
      <c r="G40" s="43">
        <v>0</v>
      </c>
      <c r="H40" s="41">
        <v>0</v>
      </c>
      <c r="I40" s="41">
        <v>0</v>
      </c>
      <c r="J40" s="41">
        <v>0</v>
      </c>
      <c r="K40" s="41">
        <v>0</v>
      </c>
      <c r="L40" s="41">
        <v>0</v>
      </c>
      <c r="M40" s="41">
        <v>0</v>
      </c>
      <c r="N40" s="41">
        <v>0</v>
      </c>
      <c r="O40" s="41">
        <v>0</v>
      </c>
      <c r="P40" s="52">
        <v>500</v>
      </c>
      <c r="Q40" s="41">
        <v>0</v>
      </c>
      <c r="R40" s="43">
        <v>0</v>
      </c>
      <c r="S40" s="34">
        <v>25.48</v>
      </c>
      <c r="T40" s="43">
        <v>25.48</v>
      </c>
      <c r="U40" s="43">
        <v>0</v>
      </c>
      <c r="V40" s="62"/>
      <c r="W40" s="32">
        <f>VLOOKUP(B40,'常规业务5-6'!$B$5:$V$61,21,0)</f>
        <v>0</v>
      </c>
    </row>
    <row r="41" customHeight="1" spans="1:23">
      <c r="A41" s="39">
        <v>12</v>
      </c>
      <c r="B41" s="47" t="s">
        <v>70</v>
      </c>
      <c r="C41" s="41">
        <v>5970</v>
      </c>
      <c r="D41" s="42">
        <v>23</v>
      </c>
      <c r="E41" s="41">
        <v>29.6</v>
      </c>
      <c r="F41" s="43">
        <v>29.6</v>
      </c>
      <c r="G41" s="43">
        <v>0</v>
      </c>
      <c r="H41" s="41">
        <v>6450</v>
      </c>
      <c r="I41" s="42">
        <v>7</v>
      </c>
      <c r="J41" s="41">
        <v>32</v>
      </c>
      <c r="K41" s="43">
        <v>32</v>
      </c>
      <c r="L41" s="43">
        <v>0</v>
      </c>
      <c r="M41" s="41">
        <v>13741.6</v>
      </c>
      <c r="N41" s="42">
        <v>88</v>
      </c>
      <c r="O41" s="41">
        <v>27.48</v>
      </c>
      <c r="P41" s="52">
        <v>472.52</v>
      </c>
      <c r="Q41" s="43">
        <v>27.48</v>
      </c>
      <c r="R41" s="43">
        <v>0</v>
      </c>
      <c r="S41" s="34">
        <v>89.08</v>
      </c>
      <c r="T41" s="43">
        <v>89.08</v>
      </c>
      <c r="U41" s="43">
        <v>0</v>
      </c>
      <c r="V41" s="62"/>
      <c r="W41" s="32">
        <f>VLOOKUP(B41,'常规业务5-6'!$B$5:$V$61,21,0)</f>
        <v>0</v>
      </c>
    </row>
    <row r="42" customHeight="1" spans="1:23">
      <c r="A42" s="39">
        <v>13</v>
      </c>
      <c r="B42" s="47" t="s">
        <v>56</v>
      </c>
      <c r="C42" s="41">
        <v>11585</v>
      </c>
      <c r="D42" s="42">
        <v>105</v>
      </c>
      <c r="E42" s="41">
        <v>57.9</v>
      </c>
      <c r="F42" s="43">
        <v>57.8</v>
      </c>
      <c r="G42" s="43">
        <v>0.100000000000001</v>
      </c>
      <c r="H42" s="41">
        <v>0</v>
      </c>
      <c r="I42" s="41">
        <v>0</v>
      </c>
      <c r="J42" s="41">
        <v>0</v>
      </c>
      <c r="K42" s="41">
        <v>0</v>
      </c>
      <c r="L42" s="41">
        <v>0</v>
      </c>
      <c r="M42" s="41">
        <v>0</v>
      </c>
      <c r="N42" s="42">
        <v>0</v>
      </c>
      <c r="O42" s="41">
        <v>0</v>
      </c>
      <c r="P42" s="52">
        <v>500</v>
      </c>
      <c r="Q42" s="43">
        <v>0</v>
      </c>
      <c r="R42" s="43">
        <v>0</v>
      </c>
      <c r="S42" s="34">
        <v>57.9</v>
      </c>
      <c r="T42" s="43">
        <v>57.8</v>
      </c>
      <c r="U42" s="43">
        <v>0.100000000000001</v>
      </c>
      <c r="V42" s="62" t="s">
        <v>102</v>
      </c>
      <c r="W42" s="32">
        <f>VLOOKUP(B42,'常规业务5-6'!$B$5:$V$61,21,0)</f>
        <v>0</v>
      </c>
    </row>
    <row r="43" customHeight="1" spans="1:23">
      <c r="A43" s="39">
        <v>14</v>
      </c>
      <c r="B43" s="47" t="s">
        <v>66</v>
      </c>
      <c r="C43" s="41">
        <v>6267.32</v>
      </c>
      <c r="D43" s="42">
        <v>31</v>
      </c>
      <c r="E43" s="41">
        <v>30.96</v>
      </c>
      <c r="F43" s="43">
        <v>30.96</v>
      </c>
      <c r="G43" s="43">
        <v>0</v>
      </c>
      <c r="H43" s="41">
        <v>8675</v>
      </c>
      <c r="I43" s="42">
        <v>10</v>
      </c>
      <c r="J43" s="41">
        <v>42.63</v>
      </c>
      <c r="K43" s="43">
        <v>42.63</v>
      </c>
      <c r="L43" s="43">
        <v>0</v>
      </c>
      <c r="M43" s="41">
        <v>13941.5</v>
      </c>
      <c r="N43" s="42">
        <v>87</v>
      </c>
      <c r="O43" s="41">
        <v>26.48</v>
      </c>
      <c r="P43" s="52">
        <v>473.52</v>
      </c>
      <c r="Q43" s="43">
        <v>26.48</v>
      </c>
      <c r="R43" s="43">
        <v>0</v>
      </c>
      <c r="S43" s="34">
        <v>100.07</v>
      </c>
      <c r="T43" s="43">
        <v>100.07</v>
      </c>
      <c r="U43" s="43">
        <v>0</v>
      </c>
      <c r="V43" s="62"/>
      <c r="W43" s="32">
        <f>VLOOKUP(B43,'常规业务5-6'!$B$5:$V$61,21,0)</f>
        <v>0</v>
      </c>
    </row>
    <row r="44" customHeight="1" spans="1:23">
      <c r="A44" s="39">
        <v>15</v>
      </c>
      <c r="B44" s="47" t="s">
        <v>103</v>
      </c>
      <c r="C44" s="41">
        <v>7110</v>
      </c>
      <c r="D44" s="42">
        <v>35</v>
      </c>
      <c r="E44" s="41">
        <v>35.55</v>
      </c>
      <c r="F44" s="43">
        <v>35.55</v>
      </c>
      <c r="G44" s="43">
        <v>0</v>
      </c>
      <c r="H44" s="41">
        <v>1000</v>
      </c>
      <c r="I44" s="41">
        <v>1</v>
      </c>
      <c r="J44" s="41">
        <v>5</v>
      </c>
      <c r="K44" s="41">
        <v>5</v>
      </c>
      <c r="L44" s="41">
        <v>0</v>
      </c>
      <c r="M44" s="41">
        <v>0</v>
      </c>
      <c r="N44" s="41">
        <v>0</v>
      </c>
      <c r="O44" s="41">
        <v>0</v>
      </c>
      <c r="P44" s="52">
        <v>500</v>
      </c>
      <c r="Q44" s="41">
        <v>0</v>
      </c>
      <c r="R44" s="43">
        <v>0</v>
      </c>
      <c r="S44" s="34">
        <v>40.55</v>
      </c>
      <c r="T44" s="43">
        <v>40.55</v>
      </c>
      <c r="U44" s="43">
        <v>0</v>
      </c>
      <c r="V44" s="62"/>
      <c r="W44" s="32" t="e">
        <f>VLOOKUP(B44,'常规业务5-6'!$B$5:$V$61,21,0)</f>
        <v>#N/A</v>
      </c>
    </row>
    <row r="45" customHeight="1" spans="1:23">
      <c r="A45" s="39">
        <v>16</v>
      </c>
      <c r="B45" s="47" t="s">
        <v>89</v>
      </c>
      <c r="C45" s="41">
        <v>6823.68</v>
      </c>
      <c r="D45" s="42">
        <v>8</v>
      </c>
      <c r="E45" s="41">
        <v>19.357672</v>
      </c>
      <c r="F45" s="43">
        <v>19.357672</v>
      </c>
      <c r="G45" s="43">
        <v>0</v>
      </c>
      <c r="H45" s="41">
        <v>15710</v>
      </c>
      <c r="I45" s="42">
        <v>21</v>
      </c>
      <c r="J45" s="41">
        <v>84.662328</v>
      </c>
      <c r="K45" s="43">
        <v>84.662328</v>
      </c>
      <c r="L45" s="43">
        <v>0</v>
      </c>
      <c r="M45" s="41">
        <v>0</v>
      </c>
      <c r="N45" s="42">
        <v>0</v>
      </c>
      <c r="O45" s="41">
        <v>0</v>
      </c>
      <c r="P45" s="52">
        <v>500</v>
      </c>
      <c r="Q45" s="43">
        <v>0</v>
      </c>
      <c r="R45" s="43">
        <v>0</v>
      </c>
      <c r="S45" s="34">
        <v>104.02</v>
      </c>
      <c r="T45" s="43">
        <v>104.02</v>
      </c>
      <c r="U45" s="43">
        <v>0</v>
      </c>
      <c r="V45" s="62"/>
      <c r="W45" s="32">
        <f>VLOOKUP(B45,'常规业务5-6'!$B$5:$V$61,21,0)</f>
        <v>0</v>
      </c>
    </row>
    <row r="46" customHeight="1" spans="1:23">
      <c r="A46" s="39">
        <v>17</v>
      </c>
      <c r="B46" s="47" t="s">
        <v>57</v>
      </c>
      <c r="C46" s="41">
        <v>4208.84</v>
      </c>
      <c r="D46" s="42">
        <v>48</v>
      </c>
      <c r="E46" s="41">
        <v>19.9</v>
      </c>
      <c r="F46" s="43">
        <v>19.9</v>
      </c>
      <c r="G46" s="43">
        <v>0</v>
      </c>
      <c r="H46" s="41">
        <v>1000</v>
      </c>
      <c r="I46" s="42">
        <v>1</v>
      </c>
      <c r="J46" s="41">
        <v>4.99</v>
      </c>
      <c r="K46" s="43">
        <v>4.99</v>
      </c>
      <c r="L46" s="43">
        <v>0</v>
      </c>
      <c r="M46" s="41">
        <v>0</v>
      </c>
      <c r="N46" s="42">
        <v>0</v>
      </c>
      <c r="O46" s="41">
        <v>0</v>
      </c>
      <c r="P46" s="52">
        <v>500</v>
      </c>
      <c r="Q46" s="43">
        <v>0</v>
      </c>
      <c r="R46" s="43">
        <v>0</v>
      </c>
      <c r="S46" s="34">
        <v>24.89</v>
      </c>
      <c r="T46" s="43">
        <v>24.89</v>
      </c>
      <c r="U46" s="43">
        <v>0</v>
      </c>
      <c r="V46" s="62"/>
      <c r="W46" s="32">
        <f>VLOOKUP(B46,'常规业务5-6'!$B$5:$V$61,21,0)</f>
        <v>0</v>
      </c>
    </row>
    <row r="47" customHeight="1" spans="1:23">
      <c r="A47" s="39">
        <v>18</v>
      </c>
      <c r="B47" s="47" t="s">
        <v>104</v>
      </c>
      <c r="C47" s="41">
        <v>970</v>
      </c>
      <c r="D47" s="42">
        <v>2</v>
      </c>
      <c r="E47" s="41">
        <v>4.83</v>
      </c>
      <c r="F47" s="43">
        <v>4.83</v>
      </c>
      <c r="G47" s="43">
        <v>0</v>
      </c>
      <c r="H47" s="41">
        <v>800</v>
      </c>
      <c r="I47" s="42">
        <v>1</v>
      </c>
      <c r="J47" s="41">
        <v>3.98</v>
      </c>
      <c r="K47" s="43">
        <v>3.98</v>
      </c>
      <c r="L47" s="43">
        <v>0</v>
      </c>
      <c r="M47" s="41">
        <v>0</v>
      </c>
      <c r="N47" s="42">
        <v>0</v>
      </c>
      <c r="O47" s="41">
        <v>0</v>
      </c>
      <c r="P47" s="52">
        <v>500</v>
      </c>
      <c r="Q47" s="43">
        <v>0</v>
      </c>
      <c r="R47" s="43">
        <v>0</v>
      </c>
      <c r="S47" s="34">
        <v>8.81</v>
      </c>
      <c r="T47" s="43">
        <v>8.81</v>
      </c>
      <c r="U47" s="43">
        <v>0</v>
      </c>
      <c r="V47" s="62"/>
      <c r="W47" s="32" t="e">
        <f>VLOOKUP(B47,'常规业务5-6'!$B$5:$V$61,21,0)</f>
        <v>#N/A</v>
      </c>
    </row>
  </sheetData>
  <mergeCells count="8">
    <mergeCell ref="C1:L1"/>
    <mergeCell ref="M1:R1"/>
    <mergeCell ref="A1:A2"/>
    <mergeCell ref="B1:B2"/>
    <mergeCell ref="S1:S2"/>
    <mergeCell ref="T1:T2"/>
    <mergeCell ref="U1:U2"/>
    <mergeCell ref="V1:V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9"/>
  <sheetViews>
    <sheetView topLeftCell="A9" workbookViewId="0">
      <selection activeCell="V54" sqref="V54"/>
    </sheetView>
  </sheetViews>
  <sheetFormatPr defaultColWidth="9" defaultRowHeight="10" customHeight="1"/>
  <cols>
    <col min="1" max="1" width="4.62162162162162" style="32" customWidth="1"/>
    <col min="2" max="2" width="16.8738738738739" style="32" customWidth="1"/>
    <col min="3" max="3" width="11.5045045045045" style="32"/>
    <col min="4" max="4" width="9" style="32"/>
    <col min="5" max="6" width="9.62162162162162" style="32"/>
    <col min="7" max="7" width="9" style="32"/>
    <col min="8" max="8" width="11.5045045045045" style="32"/>
    <col min="9" max="9" width="9" style="32"/>
    <col min="10" max="10" width="9.62162162162162" style="32"/>
    <col min="11" max="12" width="9" style="32"/>
    <col min="13" max="13" width="11.5045045045045" style="32"/>
    <col min="14" max="15" width="9" style="32"/>
    <col min="16" max="16" width="9.37837837837838" style="32"/>
    <col min="17" max="17" width="9.25225225225225" style="32"/>
    <col min="18" max="18" width="9" style="32"/>
    <col min="19" max="20" width="9.25225225225225" style="32"/>
    <col min="21" max="16384" width="9" style="32"/>
  </cols>
  <sheetData>
    <row r="1" customHeight="1" spans="1:22">
      <c r="A1" s="33" t="s">
        <v>1</v>
      </c>
      <c r="B1" s="33" t="s">
        <v>2</v>
      </c>
      <c r="C1" s="34" t="s">
        <v>3</v>
      </c>
      <c r="D1" s="35"/>
      <c r="E1" s="34"/>
      <c r="F1" s="36"/>
      <c r="G1" s="36"/>
      <c r="H1" s="34"/>
      <c r="I1" s="35"/>
      <c r="J1" s="34"/>
      <c r="K1" s="36"/>
      <c r="L1" s="36"/>
      <c r="M1" s="48" t="s">
        <v>4</v>
      </c>
      <c r="N1" s="49"/>
      <c r="O1" s="50"/>
      <c r="P1" s="51"/>
      <c r="Q1" s="51"/>
      <c r="R1" s="54"/>
      <c r="S1" s="55" t="s">
        <v>5</v>
      </c>
      <c r="T1" s="56" t="s">
        <v>6</v>
      </c>
      <c r="U1" s="56" t="s">
        <v>7</v>
      </c>
      <c r="V1" s="57" t="s">
        <v>8</v>
      </c>
    </row>
    <row r="2" customHeight="1" spans="1:22">
      <c r="A2" s="33"/>
      <c r="B2" s="33"/>
      <c r="C2" s="37" t="s">
        <v>9</v>
      </c>
      <c r="D2" s="35" t="s">
        <v>10</v>
      </c>
      <c r="E2" s="37" t="s">
        <v>11</v>
      </c>
      <c r="F2" s="38" t="s">
        <v>12</v>
      </c>
      <c r="G2" s="38" t="s">
        <v>13</v>
      </c>
      <c r="H2" s="37" t="s">
        <v>14</v>
      </c>
      <c r="I2" s="35" t="s">
        <v>10</v>
      </c>
      <c r="J2" s="37" t="s">
        <v>11</v>
      </c>
      <c r="K2" s="38" t="s">
        <v>12</v>
      </c>
      <c r="L2" s="38" t="s">
        <v>13</v>
      </c>
      <c r="M2" s="34" t="s">
        <v>15</v>
      </c>
      <c r="N2" s="35" t="s">
        <v>10</v>
      </c>
      <c r="O2" s="34" t="s">
        <v>11</v>
      </c>
      <c r="P2" s="36" t="s">
        <v>16</v>
      </c>
      <c r="Q2" s="43" t="s">
        <v>12</v>
      </c>
      <c r="R2" s="43" t="s">
        <v>13</v>
      </c>
      <c r="S2" s="58"/>
      <c r="T2" s="38"/>
      <c r="U2" s="38"/>
      <c r="V2" s="59"/>
    </row>
    <row r="3" customHeight="1" spans="1:23">
      <c r="A3" s="39">
        <v>1</v>
      </c>
      <c r="B3" s="40" t="s">
        <v>17</v>
      </c>
      <c r="C3" s="41">
        <v>27961</v>
      </c>
      <c r="D3" s="42">
        <v>88</v>
      </c>
      <c r="E3" s="41">
        <v>137.2</v>
      </c>
      <c r="F3" s="43">
        <v>137.2</v>
      </c>
      <c r="G3" s="43"/>
      <c r="H3" s="41">
        <v>8250</v>
      </c>
      <c r="I3" s="42">
        <v>9</v>
      </c>
      <c r="J3" s="41">
        <v>33.61</v>
      </c>
      <c r="K3" s="43">
        <v>31.17</v>
      </c>
      <c r="L3" s="43">
        <v>2.44</v>
      </c>
      <c r="M3" s="41">
        <v>146988.7</v>
      </c>
      <c r="N3" s="42">
        <v>2363</v>
      </c>
      <c r="O3" s="41">
        <v>273.05</v>
      </c>
      <c r="P3" s="52">
        <v>226.95</v>
      </c>
      <c r="Q3" s="43">
        <v>273.05</v>
      </c>
      <c r="R3" s="43"/>
      <c r="S3" s="34">
        <v>443.86</v>
      </c>
      <c r="T3" s="43">
        <v>441.42</v>
      </c>
      <c r="U3" s="43">
        <v>2.44</v>
      </c>
      <c r="V3" s="60" t="s">
        <v>90</v>
      </c>
      <c r="W3" s="32">
        <f>VLOOKUP(B3,'常规业务5-6'!$B$5:$V$61,21,0)</f>
        <v>0</v>
      </c>
    </row>
    <row r="4" customHeight="1" spans="1:23">
      <c r="A4" s="39">
        <v>2</v>
      </c>
      <c r="B4" s="40" t="s">
        <v>18</v>
      </c>
      <c r="C4" s="41">
        <v>5939</v>
      </c>
      <c r="D4" s="42">
        <v>17</v>
      </c>
      <c r="E4" s="41">
        <v>24.77</v>
      </c>
      <c r="F4" s="43">
        <v>20.05</v>
      </c>
      <c r="G4" s="43">
        <v>4.72</v>
      </c>
      <c r="H4" s="41">
        <v>14094</v>
      </c>
      <c r="I4" s="42">
        <v>14</v>
      </c>
      <c r="J4" s="41">
        <v>57.64</v>
      </c>
      <c r="K4" s="43">
        <v>38.34</v>
      </c>
      <c r="L4" s="43">
        <v>19.3</v>
      </c>
      <c r="M4" s="41"/>
      <c r="N4" s="42"/>
      <c r="O4" s="41"/>
      <c r="P4" s="52">
        <v>500</v>
      </c>
      <c r="Q4" s="43"/>
      <c r="R4" s="43"/>
      <c r="S4" s="34">
        <v>82.41</v>
      </c>
      <c r="T4" s="43">
        <v>58.39</v>
      </c>
      <c r="U4" s="43">
        <v>24.02</v>
      </c>
      <c r="V4" s="61" t="s">
        <v>91</v>
      </c>
      <c r="W4" s="32">
        <f>VLOOKUP(B4,'常规业务5-6'!$B$5:$V$61,21,0)</f>
        <v>0</v>
      </c>
    </row>
    <row r="5" customHeight="1" spans="1:23">
      <c r="A5" s="39">
        <v>3</v>
      </c>
      <c r="B5" s="40" t="s">
        <v>19</v>
      </c>
      <c r="C5" s="41">
        <v>33258.93</v>
      </c>
      <c r="D5" s="42">
        <v>163</v>
      </c>
      <c r="E5" s="41">
        <v>163.87</v>
      </c>
      <c r="F5" s="43">
        <v>159.01</v>
      </c>
      <c r="G5" s="43">
        <v>4.86</v>
      </c>
      <c r="H5" s="41">
        <v>17289</v>
      </c>
      <c r="I5" s="42">
        <v>19</v>
      </c>
      <c r="J5" s="41">
        <v>85.56</v>
      </c>
      <c r="K5" s="43">
        <v>76.82</v>
      </c>
      <c r="L5" s="43">
        <v>8.74</v>
      </c>
      <c r="M5" s="41">
        <v>13688.6</v>
      </c>
      <c r="N5" s="42">
        <v>166</v>
      </c>
      <c r="O5" s="41">
        <v>27.47</v>
      </c>
      <c r="P5" s="52">
        <v>472.53</v>
      </c>
      <c r="Q5" s="43">
        <v>27.47</v>
      </c>
      <c r="R5" s="43"/>
      <c r="S5" s="34">
        <v>276.9</v>
      </c>
      <c r="T5" s="43">
        <v>263.3</v>
      </c>
      <c r="U5" s="43">
        <v>13.6</v>
      </c>
      <c r="V5" s="61" t="s">
        <v>92</v>
      </c>
      <c r="W5" s="32">
        <f>VLOOKUP(B5,'常规业务5-6'!$B$5:$V$61,21,0)</f>
        <v>0</v>
      </c>
    </row>
    <row r="6" customHeight="1" spans="1:23">
      <c r="A6" s="39">
        <v>5</v>
      </c>
      <c r="B6" s="40" t="s">
        <v>21</v>
      </c>
      <c r="C6" s="41">
        <v>23923.527369</v>
      </c>
      <c r="D6" s="42">
        <v>75</v>
      </c>
      <c r="E6" s="41">
        <v>118.52</v>
      </c>
      <c r="F6" s="43">
        <v>118.52</v>
      </c>
      <c r="G6" s="43"/>
      <c r="H6" s="41">
        <v>19586</v>
      </c>
      <c r="I6" s="42">
        <v>23</v>
      </c>
      <c r="J6" s="41">
        <v>97.17</v>
      </c>
      <c r="K6" s="43">
        <v>97.17</v>
      </c>
      <c r="L6" s="43"/>
      <c r="M6" s="41">
        <v>28101.7</v>
      </c>
      <c r="N6" s="42">
        <v>220</v>
      </c>
      <c r="O6" s="41">
        <v>56.06</v>
      </c>
      <c r="P6" s="52">
        <v>443.94</v>
      </c>
      <c r="Q6" s="43">
        <v>56.06</v>
      </c>
      <c r="R6" s="43"/>
      <c r="S6" s="34">
        <v>271.75</v>
      </c>
      <c r="T6" s="43">
        <v>271.75</v>
      </c>
      <c r="U6" s="43">
        <v>0</v>
      </c>
      <c r="V6" s="61"/>
      <c r="W6" s="32">
        <f>VLOOKUP(B6,'常规业务5-6'!$B$5:$V$61,21,0)</f>
        <v>0</v>
      </c>
    </row>
    <row r="7" customHeight="1" spans="1:23">
      <c r="A7" s="39">
        <v>6</v>
      </c>
      <c r="B7" s="40" t="s">
        <v>22</v>
      </c>
      <c r="C7" s="41">
        <v>3816</v>
      </c>
      <c r="D7" s="42">
        <v>17</v>
      </c>
      <c r="E7" s="41">
        <v>19.07</v>
      </c>
      <c r="F7" s="43">
        <v>13.32</v>
      </c>
      <c r="G7" s="43">
        <v>5.75</v>
      </c>
      <c r="H7" s="41">
        <v>5350</v>
      </c>
      <c r="I7" s="42">
        <v>5</v>
      </c>
      <c r="J7" s="41">
        <v>23.21</v>
      </c>
      <c r="K7" s="43">
        <v>20.47</v>
      </c>
      <c r="L7" s="43">
        <v>2.74</v>
      </c>
      <c r="M7" s="41"/>
      <c r="N7" s="42"/>
      <c r="O7" s="41"/>
      <c r="P7" s="52">
        <v>500</v>
      </c>
      <c r="Q7" s="43"/>
      <c r="R7" s="43"/>
      <c r="S7" s="34">
        <v>42.28</v>
      </c>
      <c r="T7" s="43">
        <v>33.79</v>
      </c>
      <c r="U7" s="43">
        <v>8.49</v>
      </c>
      <c r="V7" s="61" t="s">
        <v>93</v>
      </c>
      <c r="W7" s="32">
        <f>VLOOKUP(B7,'常规业务5-6'!$B$5:$V$61,21,0)</f>
        <v>0</v>
      </c>
    </row>
    <row r="8" customHeight="1" spans="1:23">
      <c r="A8" s="39">
        <v>7</v>
      </c>
      <c r="B8" s="40" t="s">
        <v>23</v>
      </c>
      <c r="C8" s="41">
        <v>6925</v>
      </c>
      <c r="D8" s="42">
        <v>31</v>
      </c>
      <c r="E8" s="41">
        <v>34.21</v>
      </c>
      <c r="F8" s="43">
        <v>34.21</v>
      </c>
      <c r="G8" s="43">
        <v>0</v>
      </c>
      <c r="H8" s="41">
        <v>750</v>
      </c>
      <c r="I8" s="42">
        <v>1</v>
      </c>
      <c r="J8" s="41">
        <v>3.74</v>
      </c>
      <c r="K8" s="43">
        <v>3.74</v>
      </c>
      <c r="L8" s="43"/>
      <c r="M8" s="41">
        <v>14518.8</v>
      </c>
      <c r="N8" s="42">
        <v>125</v>
      </c>
      <c r="O8" s="41">
        <v>28.98</v>
      </c>
      <c r="P8" s="52">
        <v>471.02</v>
      </c>
      <c r="Q8" s="43">
        <v>28.98</v>
      </c>
      <c r="R8" s="43"/>
      <c r="S8" s="34">
        <v>66.93</v>
      </c>
      <c r="T8" s="43">
        <v>66.93</v>
      </c>
      <c r="U8" s="43">
        <v>0</v>
      </c>
      <c r="V8" s="61"/>
      <c r="W8" s="32">
        <f>VLOOKUP(B8,'常规业务5-6'!$B$5:$V$61,21,0)</f>
        <v>0</v>
      </c>
    </row>
    <row r="9" customHeight="1" spans="1:23">
      <c r="A9" s="39">
        <v>8</v>
      </c>
      <c r="B9" s="40" t="s">
        <v>24</v>
      </c>
      <c r="C9" s="41">
        <v>19120</v>
      </c>
      <c r="D9" s="42">
        <v>68</v>
      </c>
      <c r="E9" s="41">
        <v>94.85</v>
      </c>
      <c r="F9" s="43">
        <v>94.85</v>
      </c>
      <c r="G9" s="43"/>
      <c r="H9" s="41">
        <v>16600</v>
      </c>
      <c r="I9" s="42">
        <v>19</v>
      </c>
      <c r="J9" s="41">
        <v>81.82</v>
      </c>
      <c r="K9" s="43">
        <v>72.07</v>
      </c>
      <c r="L9" s="43">
        <v>9.75</v>
      </c>
      <c r="M9" s="41">
        <v>16951</v>
      </c>
      <c r="N9" s="42">
        <v>112</v>
      </c>
      <c r="O9" s="41">
        <v>33.91</v>
      </c>
      <c r="P9" s="52">
        <v>466.09</v>
      </c>
      <c r="Q9" s="43">
        <v>33.91</v>
      </c>
      <c r="R9" s="43"/>
      <c r="S9" s="34">
        <v>210.58</v>
      </c>
      <c r="T9" s="43">
        <v>200.83</v>
      </c>
      <c r="U9" s="43">
        <v>9.75</v>
      </c>
      <c r="V9" s="61" t="s">
        <v>94</v>
      </c>
      <c r="W9" s="32">
        <f>VLOOKUP(B9,'常规业务5-6'!$B$5:$V$61,21,0)</f>
        <v>0</v>
      </c>
    </row>
    <row r="10" customHeight="1" spans="1:23">
      <c r="A10" s="39">
        <v>9</v>
      </c>
      <c r="B10" s="40" t="s">
        <v>25</v>
      </c>
      <c r="C10" s="41">
        <v>13345</v>
      </c>
      <c r="D10" s="42">
        <v>114</v>
      </c>
      <c r="E10" s="41">
        <v>63.56</v>
      </c>
      <c r="F10" s="43">
        <v>61.06</v>
      </c>
      <c r="G10" s="43">
        <v>2.5</v>
      </c>
      <c r="H10" s="41">
        <v>5850</v>
      </c>
      <c r="I10" s="42">
        <v>7</v>
      </c>
      <c r="J10" s="41">
        <v>25.79</v>
      </c>
      <c r="K10" s="43">
        <v>25.79</v>
      </c>
      <c r="L10" s="43"/>
      <c r="M10" s="41">
        <v>34641.1</v>
      </c>
      <c r="N10" s="42">
        <v>410</v>
      </c>
      <c r="O10" s="41">
        <v>69.28</v>
      </c>
      <c r="P10" s="52">
        <v>430.72</v>
      </c>
      <c r="Q10" s="43">
        <v>69.28</v>
      </c>
      <c r="R10" s="43"/>
      <c r="S10" s="34">
        <v>158.63</v>
      </c>
      <c r="T10" s="43">
        <v>156.13</v>
      </c>
      <c r="U10" s="43">
        <v>2.5</v>
      </c>
      <c r="V10" s="61" t="s">
        <v>95</v>
      </c>
      <c r="W10" s="32">
        <f>VLOOKUP(B10,'常规业务5-6'!$B$5:$V$61,21,0)</f>
        <v>0</v>
      </c>
    </row>
    <row r="11" customHeight="1" spans="1:23">
      <c r="A11" s="44">
        <v>18</v>
      </c>
      <c r="B11" s="45" t="s">
        <v>34</v>
      </c>
      <c r="C11" s="41">
        <v>10488</v>
      </c>
      <c r="D11" s="42">
        <v>36</v>
      </c>
      <c r="E11" s="41">
        <v>50.95</v>
      </c>
      <c r="F11" s="43">
        <v>50.95</v>
      </c>
      <c r="G11" s="43"/>
      <c r="H11" s="41">
        <v>7083</v>
      </c>
      <c r="I11" s="42">
        <v>8</v>
      </c>
      <c r="J11" s="41">
        <v>35.02</v>
      </c>
      <c r="K11" s="43">
        <v>23.03</v>
      </c>
      <c r="L11" s="43">
        <v>11.99</v>
      </c>
      <c r="M11" s="41"/>
      <c r="N11" s="42"/>
      <c r="O11" s="41"/>
      <c r="P11" s="52">
        <v>500</v>
      </c>
      <c r="Q11" s="43"/>
      <c r="R11" s="43"/>
      <c r="S11" s="34">
        <v>85.97</v>
      </c>
      <c r="T11" s="43">
        <v>73.98</v>
      </c>
      <c r="U11" s="43">
        <v>11.99</v>
      </c>
      <c r="V11" s="62" t="s">
        <v>96</v>
      </c>
      <c r="W11" s="32">
        <f>VLOOKUP(B11,'常规业务5-6'!$B$5:$V$61,21,0)</f>
        <v>0</v>
      </c>
    </row>
    <row r="12" customHeight="1" spans="1:23">
      <c r="A12" s="39">
        <v>10</v>
      </c>
      <c r="B12" s="45" t="s">
        <v>26</v>
      </c>
      <c r="C12" s="41">
        <v>53094</v>
      </c>
      <c r="D12" s="42">
        <v>133</v>
      </c>
      <c r="E12" s="41">
        <v>261.03</v>
      </c>
      <c r="F12" s="43">
        <v>258.53</v>
      </c>
      <c r="G12" s="43">
        <v>2.5</v>
      </c>
      <c r="H12" s="41">
        <v>10680</v>
      </c>
      <c r="I12" s="42">
        <v>13</v>
      </c>
      <c r="J12" s="41">
        <v>53.27</v>
      </c>
      <c r="K12" s="43">
        <v>49.27</v>
      </c>
      <c r="L12" s="43">
        <v>4</v>
      </c>
      <c r="M12" s="41">
        <v>38445.4</v>
      </c>
      <c r="N12" s="42">
        <v>238</v>
      </c>
      <c r="O12" s="41">
        <v>76.89</v>
      </c>
      <c r="P12" s="52">
        <v>423.11</v>
      </c>
      <c r="Q12" s="43">
        <v>76.76</v>
      </c>
      <c r="R12" s="43">
        <v>0.129999999999995</v>
      </c>
      <c r="S12" s="34">
        <v>391.19</v>
      </c>
      <c r="T12" s="43">
        <v>384.56</v>
      </c>
      <c r="U12" s="43">
        <v>6.63</v>
      </c>
      <c r="V12" s="62"/>
      <c r="W12" s="32">
        <f>VLOOKUP(B12,'常规业务5-6'!$B$5:$V$61,21,0)</f>
        <v>0</v>
      </c>
    </row>
    <row r="13" customHeight="1" spans="1:23">
      <c r="A13" s="39">
        <v>11</v>
      </c>
      <c r="B13" s="45" t="s">
        <v>27</v>
      </c>
      <c r="C13" s="41">
        <v>16289</v>
      </c>
      <c r="D13" s="42">
        <v>70</v>
      </c>
      <c r="E13" s="41">
        <v>81.46</v>
      </c>
      <c r="F13" s="43">
        <v>62.13</v>
      </c>
      <c r="G13" s="43">
        <v>19.33</v>
      </c>
      <c r="H13" s="41">
        <v>5400</v>
      </c>
      <c r="I13" s="42">
        <v>6</v>
      </c>
      <c r="J13" s="41">
        <v>26</v>
      </c>
      <c r="K13" s="43">
        <v>15.66</v>
      </c>
      <c r="L13" s="43">
        <v>10.34</v>
      </c>
      <c r="M13" s="41">
        <v>42952.6</v>
      </c>
      <c r="N13" s="42">
        <v>478</v>
      </c>
      <c r="O13" s="41">
        <v>85.87</v>
      </c>
      <c r="P13" s="52">
        <v>414.13</v>
      </c>
      <c r="Q13" s="43">
        <v>85.8100000000001</v>
      </c>
      <c r="R13" s="43">
        <v>0.0599999999999028</v>
      </c>
      <c r="S13" s="34">
        <v>193.33</v>
      </c>
      <c r="T13" s="43">
        <v>163.6</v>
      </c>
      <c r="U13" s="43">
        <v>29.7299999999999</v>
      </c>
      <c r="V13" s="62"/>
      <c r="W13" s="32">
        <f>VLOOKUP(B13,'常规业务5-6'!$B$5:$V$61,21,0)</f>
        <v>0</v>
      </c>
    </row>
    <row r="14" customHeight="1" spans="1:23">
      <c r="A14" s="39">
        <v>12</v>
      </c>
      <c r="B14" s="45" t="s">
        <v>28</v>
      </c>
      <c r="C14" s="41">
        <v>6155</v>
      </c>
      <c r="D14" s="42">
        <v>28</v>
      </c>
      <c r="E14" s="41">
        <v>29.7</v>
      </c>
      <c r="F14" s="43">
        <v>25.84</v>
      </c>
      <c r="G14" s="43">
        <v>3.86</v>
      </c>
      <c r="H14" s="41">
        <v>5730</v>
      </c>
      <c r="I14" s="42">
        <v>7</v>
      </c>
      <c r="J14" s="41">
        <v>22.71</v>
      </c>
      <c r="K14" s="43">
        <v>12.06</v>
      </c>
      <c r="L14" s="43">
        <v>10.65</v>
      </c>
      <c r="M14" s="41">
        <v>0</v>
      </c>
      <c r="N14" s="42">
        <v>0</v>
      </c>
      <c r="O14" s="41">
        <v>0</v>
      </c>
      <c r="P14" s="52">
        <v>500</v>
      </c>
      <c r="Q14" s="43">
        <v>0</v>
      </c>
      <c r="R14" s="43">
        <v>0</v>
      </c>
      <c r="S14" s="34">
        <v>52.41</v>
      </c>
      <c r="T14" s="43">
        <v>37.9</v>
      </c>
      <c r="U14" s="43">
        <v>14.51</v>
      </c>
      <c r="V14" s="62"/>
      <c r="W14" s="63">
        <f>VLOOKUP(B14,'常规业务5-6'!$B$5:$V$61,21,0)</f>
        <v>0</v>
      </c>
    </row>
    <row r="15" customHeight="1" spans="1:23">
      <c r="A15" s="39">
        <v>13</v>
      </c>
      <c r="B15" s="45" t="s">
        <v>29</v>
      </c>
      <c r="C15" s="46">
        <v>21790</v>
      </c>
      <c r="D15" s="42">
        <v>119</v>
      </c>
      <c r="E15" s="41">
        <v>108.97</v>
      </c>
      <c r="F15" s="43">
        <v>106.75</v>
      </c>
      <c r="G15" s="43">
        <v>2.22</v>
      </c>
      <c r="H15" s="41">
        <v>4000</v>
      </c>
      <c r="I15" s="42">
        <v>5</v>
      </c>
      <c r="J15" s="41">
        <v>19.98</v>
      </c>
      <c r="K15" s="53">
        <v>14.98</v>
      </c>
      <c r="L15" s="53">
        <v>5</v>
      </c>
      <c r="M15" s="41">
        <v>29076.5</v>
      </c>
      <c r="N15" s="42">
        <v>378</v>
      </c>
      <c r="O15" s="41">
        <v>58.11</v>
      </c>
      <c r="P15" s="52">
        <v>441.89</v>
      </c>
      <c r="Q15" s="43">
        <v>58.11</v>
      </c>
      <c r="R15" s="43">
        <v>0</v>
      </c>
      <c r="S15" s="34">
        <v>187.06</v>
      </c>
      <c r="T15" s="43">
        <v>179.84</v>
      </c>
      <c r="U15" s="43">
        <v>7.22</v>
      </c>
      <c r="V15" s="62"/>
      <c r="W15" s="32">
        <f>VLOOKUP(B15,'常规业务5-6'!$B$5:$V$61,21,0)</f>
        <v>0</v>
      </c>
    </row>
    <row r="16" customHeight="1" spans="1:23">
      <c r="A16" s="39">
        <v>15</v>
      </c>
      <c r="B16" s="45" t="s">
        <v>31</v>
      </c>
      <c r="C16" s="41">
        <v>400</v>
      </c>
      <c r="D16" s="42">
        <v>1</v>
      </c>
      <c r="E16" s="41">
        <v>1.99</v>
      </c>
      <c r="F16" s="43">
        <v>1.99</v>
      </c>
      <c r="G16" s="43">
        <v>0</v>
      </c>
      <c r="H16" s="41">
        <v>7020</v>
      </c>
      <c r="I16" s="42">
        <v>8</v>
      </c>
      <c r="J16" s="41">
        <v>35.04</v>
      </c>
      <c r="K16" s="43">
        <v>35.04</v>
      </c>
      <c r="L16" s="43">
        <v>0</v>
      </c>
      <c r="M16" s="41">
        <v>0</v>
      </c>
      <c r="N16" s="42">
        <v>0</v>
      </c>
      <c r="O16" s="41">
        <v>0</v>
      </c>
      <c r="P16" s="52">
        <v>500</v>
      </c>
      <c r="Q16" s="43">
        <v>0</v>
      </c>
      <c r="R16" s="43">
        <v>0</v>
      </c>
      <c r="S16" s="34">
        <v>37.03</v>
      </c>
      <c r="T16" s="43">
        <v>37.03</v>
      </c>
      <c r="U16" s="43">
        <v>0</v>
      </c>
      <c r="V16" s="62"/>
      <c r="W16" s="32">
        <f>VLOOKUP(B16,'常规业务5-6'!$B$5:$V$61,21,0)</f>
        <v>0</v>
      </c>
    </row>
    <row r="17" customHeight="1" spans="1:23">
      <c r="A17" s="39">
        <v>16</v>
      </c>
      <c r="B17" s="45" t="s">
        <v>32</v>
      </c>
      <c r="C17" s="41">
        <v>23268</v>
      </c>
      <c r="D17" s="42">
        <v>80</v>
      </c>
      <c r="E17" s="41">
        <v>116.02</v>
      </c>
      <c r="F17" s="43">
        <v>114.95</v>
      </c>
      <c r="G17" s="43">
        <v>1.06999999999999</v>
      </c>
      <c r="H17" s="41">
        <v>0</v>
      </c>
      <c r="I17" s="42">
        <v>0</v>
      </c>
      <c r="J17" s="41">
        <v>0</v>
      </c>
      <c r="K17" s="43">
        <v>0</v>
      </c>
      <c r="L17" s="43">
        <v>0</v>
      </c>
      <c r="M17" s="41">
        <v>1877.8</v>
      </c>
      <c r="N17" s="42">
        <v>6</v>
      </c>
      <c r="O17" s="41">
        <v>3.75</v>
      </c>
      <c r="P17" s="52">
        <v>496.25</v>
      </c>
      <c r="Q17" s="43">
        <v>3.75</v>
      </c>
      <c r="R17" s="43">
        <v>0</v>
      </c>
      <c r="S17" s="34">
        <v>119.77</v>
      </c>
      <c r="T17" s="43">
        <v>118.7</v>
      </c>
      <c r="U17" s="43">
        <v>1.06999999999999</v>
      </c>
      <c r="V17" s="62"/>
      <c r="W17" s="32">
        <f>VLOOKUP(B17,'常规业务5-6'!$B$5:$V$61,21,0)</f>
        <v>0</v>
      </c>
    </row>
    <row r="18" customHeight="1" spans="1:23">
      <c r="A18" s="39">
        <v>17</v>
      </c>
      <c r="B18" s="45" t="s">
        <v>33</v>
      </c>
      <c r="C18" s="41">
        <v>3973</v>
      </c>
      <c r="D18" s="42">
        <v>17</v>
      </c>
      <c r="E18" s="41">
        <v>19.59</v>
      </c>
      <c r="F18" s="43">
        <v>19.59</v>
      </c>
      <c r="G18" s="43">
        <v>0</v>
      </c>
      <c r="H18" s="41">
        <v>0</v>
      </c>
      <c r="I18" s="42">
        <v>0</v>
      </c>
      <c r="J18" s="41">
        <v>0</v>
      </c>
      <c r="K18" s="43">
        <v>0</v>
      </c>
      <c r="L18" s="43">
        <v>0</v>
      </c>
      <c r="M18" s="41">
        <v>0</v>
      </c>
      <c r="N18" s="42">
        <v>0</v>
      </c>
      <c r="O18" s="41">
        <v>0</v>
      </c>
      <c r="P18" s="52">
        <v>500</v>
      </c>
      <c r="Q18" s="43">
        <v>0</v>
      </c>
      <c r="R18" s="43">
        <v>0</v>
      </c>
      <c r="S18" s="34">
        <v>19.59</v>
      </c>
      <c r="T18" s="43">
        <v>19.59</v>
      </c>
      <c r="U18" s="43">
        <v>0</v>
      </c>
      <c r="V18" s="62"/>
      <c r="W18" s="32">
        <f>VLOOKUP(B18,'常规业务5-6'!$B$5:$V$61,21,0)</f>
        <v>0</v>
      </c>
    </row>
    <row r="19" customHeight="1" spans="1:23">
      <c r="A19" s="39">
        <v>19</v>
      </c>
      <c r="B19" s="45" t="s">
        <v>35</v>
      </c>
      <c r="C19" s="41">
        <v>740</v>
      </c>
      <c r="D19" s="42">
        <v>4</v>
      </c>
      <c r="E19" s="41">
        <v>3.47</v>
      </c>
      <c r="F19" s="43">
        <v>3.47</v>
      </c>
      <c r="G19" s="43">
        <v>0</v>
      </c>
      <c r="H19" s="41">
        <v>0</v>
      </c>
      <c r="I19" s="42">
        <v>0</v>
      </c>
      <c r="J19" s="41">
        <v>0</v>
      </c>
      <c r="K19" s="43">
        <v>0</v>
      </c>
      <c r="L19" s="43">
        <v>0</v>
      </c>
      <c r="M19" s="41">
        <v>0</v>
      </c>
      <c r="N19" s="42">
        <v>0</v>
      </c>
      <c r="O19" s="41">
        <v>0</v>
      </c>
      <c r="P19" s="52">
        <v>500</v>
      </c>
      <c r="Q19" s="43">
        <v>0</v>
      </c>
      <c r="R19" s="43">
        <v>0</v>
      </c>
      <c r="S19" s="34">
        <v>3.47</v>
      </c>
      <c r="T19" s="43">
        <v>3.47</v>
      </c>
      <c r="U19" s="43">
        <v>0</v>
      </c>
      <c r="V19" s="62"/>
      <c r="W19" s="32">
        <f>VLOOKUP(B19,'常规业务5-6'!$B$5:$V$61,21,0)</f>
        <v>0</v>
      </c>
    </row>
    <row r="20" customHeight="1" spans="1:23">
      <c r="A20" s="39">
        <v>20</v>
      </c>
      <c r="B20" s="45" t="s">
        <v>36</v>
      </c>
      <c r="C20" s="41">
        <v>14825</v>
      </c>
      <c r="D20" s="42">
        <v>54</v>
      </c>
      <c r="E20" s="41">
        <v>70.24</v>
      </c>
      <c r="F20" s="43">
        <v>70.24</v>
      </c>
      <c r="G20" s="43">
        <v>0</v>
      </c>
      <c r="H20" s="41">
        <v>3930</v>
      </c>
      <c r="I20" s="42">
        <v>5</v>
      </c>
      <c r="J20" s="41">
        <v>19.62</v>
      </c>
      <c r="K20" s="43">
        <v>19.62</v>
      </c>
      <c r="L20" s="43">
        <v>0</v>
      </c>
      <c r="M20" s="41">
        <v>0</v>
      </c>
      <c r="N20" s="42">
        <v>0</v>
      </c>
      <c r="O20" s="41">
        <v>0</v>
      </c>
      <c r="P20" s="52">
        <v>500</v>
      </c>
      <c r="Q20" s="43">
        <v>0</v>
      </c>
      <c r="R20" s="43">
        <v>0</v>
      </c>
      <c r="S20" s="34">
        <v>89.86</v>
      </c>
      <c r="T20" s="43">
        <v>89.86</v>
      </c>
      <c r="U20" s="43">
        <v>0</v>
      </c>
      <c r="V20" s="62"/>
      <c r="W20" s="32">
        <f>VLOOKUP(B20,'常规业务5-6'!$B$5:$V$61,21,0)</f>
        <v>0</v>
      </c>
    </row>
    <row r="21" customHeight="1" spans="1:23">
      <c r="A21" s="39">
        <v>21</v>
      </c>
      <c r="B21" s="45" t="s">
        <v>88</v>
      </c>
      <c r="C21" s="41">
        <v>10380</v>
      </c>
      <c r="D21" s="42">
        <v>33</v>
      </c>
      <c r="E21" s="41">
        <v>51.67</v>
      </c>
      <c r="F21" s="43">
        <v>51.67</v>
      </c>
      <c r="G21" s="43">
        <v>0</v>
      </c>
      <c r="H21" s="41">
        <v>3270</v>
      </c>
      <c r="I21" s="42">
        <v>4</v>
      </c>
      <c r="J21" s="41">
        <v>16.26</v>
      </c>
      <c r="K21" s="43">
        <v>16.26</v>
      </c>
      <c r="L21" s="43">
        <v>0</v>
      </c>
      <c r="M21" s="41">
        <v>0</v>
      </c>
      <c r="N21" s="42">
        <v>0</v>
      </c>
      <c r="O21" s="41">
        <v>0</v>
      </c>
      <c r="P21" s="52">
        <v>500</v>
      </c>
      <c r="Q21" s="43">
        <v>0</v>
      </c>
      <c r="R21" s="43">
        <v>0</v>
      </c>
      <c r="S21" s="34">
        <v>67.93</v>
      </c>
      <c r="T21" s="43">
        <v>67.93</v>
      </c>
      <c r="U21" s="43">
        <v>0</v>
      </c>
      <c r="V21" s="62"/>
      <c r="W21" s="63">
        <f>VLOOKUP(B21,'常规业务5-6'!$B$5:$V$61,21,0)</f>
        <v>0</v>
      </c>
    </row>
    <row r="22" customHeight="1" spans="1:23">
      <c r="A22" s="39">
        <v>24</v>
      </c>
      <c r="B22" s="45" t="s">
        <v>40</v>
      </c>
      <c r="C22" s="41">
        <v>1300</v>
      </c>
      <c r="D22" s="42">
        <v>45</v>
      </c>
      <c r="E22" s="41">
        <v>6.55</v>
      </c>
      <c r="F22" s="43">
        <v>6.54999999999999</v>
      </c>
      <c r="G22" s="43">
        <v>9.76996261670138e-15</v>
      </c>
      <c r="H22" s="41">
        <v>0</v>
      </c>
      <c r="I22" s="42">
        <v>0</v>
      </c>
      <c r="J22" s="41">
        <v>0</v>
      </c>
      <c r="K22" s="43">
        <v>0</v>
      </c>
      <c r="L22" s="43">
        <v>0</v>
      </c>
      <c r="M22" s="41">
        <v>0</v>
      </c>
      <c r="N22" s="42">
        <v>0</v>
      </c>
      <c r="O22" s="41">
        <v>0</v>
      </c>
      <c r="P22" s="52">
        <v>500</v>
      </c>
      <c r="Q22" s="43">
        <v>0</v>
      </c>
      <c r="R22" s="43">
        <v>0</v>
      </c>
      <c r="S22" s="34">
        <v>6.55</v>
      </c>
      <c r="T22" s="43">
        <v>6.54999999999999</v>
      </c>
      <c r="U22" s="43">
        <v>0</v>
      </c>
      <c r="V22" s="62"/>
      <c r="W22" s="32">
        <f>VLOOKUP(B22,'常规业务5-6'!$B$5:$V$61,21,0)</f>
        <v>0</v>
      </c>
    </row>
    <row r="23" customHeight="1" spans="1:23">
      <c r="A23" s="39">
        <v>27</v>
      </c>
      <c r="B23" s="45" t="s">
        <v>43</v>
      </c>
      <c r="C23" s="41">
        <v>10360</v>
      </c>
      <c r="D23" s="42">
        <v>28</v>
      </c>
      <c r="E23" s="41">
        <v>51.16</v>
      </c>
      <c r="F23" s="43">
        <v>46.6</v>
      </c>
      <c r="G23" s="43">
        <v>4.56</v>
      </c>
      <c r="H23" s="41">
        <v>8510</v>
      </c>
      <c r="I23" s="42">
        <v>9</v>
      </c>
      <c r="J23" s="41">
        <v>42.43</v>
      </c>
      <c r="K23" s="43">
        <v>37.67</v>
      </c>
      <c r="L23" s="43">
        <v>4.76</v>
      </c>
      <c r="M23" s="41">
        <v>45195.5</v>
      </c>
      <c r="N23" s="42">
        <v>336</v>
      </c>
      <c r="O23" s="41">
        <v>90.37</v>
      </c>
      <c r="P23" s="52">
        <v>409.63</v>
      </c>
      <c r="Q23" s="43">
        <v>90.2400000000001</v>
      </c>
      <c r="R23" s="43">
        <v>0.12999999999991</v>
      </c>
      <c r="S23" s="34">
        <v>183.96</v>
      </c>
      <c r="T23" s="43">
        <v>174.51</v>
      </c>
      <c r="U23" s="43">
        <v>9.4499999999999</v>
      </c>
      <c r="V23" s="62"/>
      <c r="W23" s="32">
        <f>VLOOKUP(B23,'常规业务5-6'!$B$5:$V$61,21,0)</f>
        <v>0</v>
      </c>
    </row>
    <row r="24" customHeight="1" spans="1:23">
      <c r="A24" s="39">
        <v>28</v>
      </c>
      <c r="B24" s="45" t="s">
        <v>44</v>
      </c>
      <c r="C24" s="41">
        <v>5748</v>
      </c>
      <c r="D24" s="42">
        <v>72</v>
      </c>
      <c r="E24" s="41">
        <v>28.74</v>
      </c>
      <c r="F24" s="43">
        <v>25.74</v>
      </c>
      <c r="G24" s="43">
        <v>3</v>
      </c>
      <c r="H24" s="41">
        <v>0</v>
      </c>
      <c r="I24" s="42">
        <v>0</v>
      </c>
      <c r="J24" s="41">
        <v>0</v>
      </c>
      <c r="K24" s="43">
        <v>0</v>
      </c>
      <c r="L24" s="43">
        <v>0</v>
      </c>
      <c r="M24" s="41">
        <v>0</v>
      </c>
      <c r="N24" s="42">
        <v>0</v>
      </c>
      <c r="O24" s="41">
        <v>0</v>
      </c>
      <c r="P24" s="52">
        <v>500</v>
      </c>
      <c r="Q24" s="43">
        <v>0</v>
      </c>
      <c r="R24" s="43">
        <v>0</v>
      </c>
      <c r="S24" s="34">
        <v>28.74</v>
      </c>
      <c r="T24" s="43">
        <v>25.74</v>
      </c>
      <c r="U24" s="43">
        <v>3</v>
      </c>
      <c r="V24" s="62"/>
      <c r="W24" s="32">
        <f>VLOOKUP(B24,'常规业务5-6'!$B$5:$V$61,21,0)</f>
        <v>0</v>
      </c>
    </row>
    <row r="25" customHeight="1" spans="1:23">
      <c r="A25" s="39">
        <v>29</v>
      </c>
      <c r="B25" s="47" t="s">
        <v>45</v>
      </c>
      <c r="C25" s="41">
        <v>5425.8</v>
      </c>
      <c r="D25" s="42">
        <v>16</v>
      </c>
      <c r="E25" s="41">
        <v>25.72</v>
      </c>
      <c r="F25" s="43">
        <v>25.72</v>
      </c>
      <c r="G25" s="43">
        <v>0</v>
      </c>
      <c r="H25" s="41">
        <v>700</v>
      </c>
      <c r="I25" s="42">
        <v>1</v>
      </c>
      <c r="J25" s="41">
        <v>3.5</v>
      </c>
      <c r="K25" s="43">
        <v>3.5</v>
      </c>
      <c r="L25" s="43">
        <v>0</v>
      </c>
      <c r="M25" s="41">
        <v>0</v>
      </c>
      <c r="N25" s="42">
        <v>0</v>
      </c>
      <c r="O25" s="41">
        <v>0</v>
      </c>
      <c r="P25" s="52">
        <v>500</v>
      </c>
      <c r="Q25" s="43">
        <v>0</v>
      </c>
      <c r="R25" s="43">
        <v>0</v>
      </c>
      <c r="S25" s="34">
        <v>29.22</v>
      </c>
      <c r="T25" s="43">
        <v>29.22</v>
      </c>
      <c r="U25" s="43">
        <v>0</v>
      </c>
      <c r="V25" s="62"/>
      <c r="W25" s="32">
        <f>VLOOKUP(B25,'常规业务5-6'!$B$5:$V$61,21,0)</f>
        <v>0</v>
      </c>
    </row>
    <row r="26" customHeight="1" spans="1:23">
      <c r="A26" s="39">
        <v>30</v>
      </c>
      <c r="B26" s="47" t="s">
        <v>46</v>
      </c>
      <c r="C26" s="41">
        <v>11054</v>
      </c>
      <c r="D26" s="42">
        <v>48</v>
      </c>
      <c r="E26" s="41">
        <v>54.05</v>
      </c>
      <c r="F26" s="43">
        <v>31.63</v>
      </c>
      <c r="G26" s="43">
        <v>22.42</v>
      </c>
      <c r="H26" s="41">
        <v>7400</v>
      </c>
      <c r="I26" s="42">
        <v>8</v>
      </c>
      <c r="J26" s="41">
        <v>36.97</v>
      </c>
      <c r="K26" s="43">
        <v>32.97</v>
      </c>
      <c r="L26" s="43">
        <v>4</v>
      </c>
      <c r="M26" s="41">
        <v>0</v>
      </c>
      <c r="N26" s="42">
        <v>0</v>
      </c>
      <c r="O26" s="41">
        <v>0</v>
      </c>
      <c r="P26" s="52">
        <v>500</v>
      </c>
      <c r="Q26" s="43">
        <v>0</v>
      </c>
      <c r="R26" s="43">
        <v>0</v>
      </c>
      <c r="S26" s="34">
        <v>91.02</v>
      </c>
      <c r="T26" s="43">
        <v>64.6</v>
      </c>
      <c r="U26" s="43">
        <v>26.42</v>
      </c>
      <c r="V26" s="62"/>
      <c r="W26" s="32">
        <f>VLOOKUP(B26,'常规业务5-6'!$B$5:$V$61,21,0)</f>
        <v>0</v>
      </c>
    </row>
    <row r="27" customHeight="1" spans="1:23">
      <c r="A27" s="39">
        <v>32</v>
      </c>
      <c r="B27" s="47" t="s">
        <v>48</v>
      </c>
      <c r="C27" s="41">
        <v>850</v>
      </c>
      <c r="D27" s="42">
        <v>2</v>
      </c>
      <c r="E27" s="41">
        <v>4.25</v>
      </c>
      <c r="F27" s="43">
        <v>4.25</v>
      </c>
      <c r="G27" s="43">
        <v>0</v>
      </c>
      <c r="H27" s="41">
        <v>1300</v>
      </c>
      <c r="I27" s="42">
        <v>2</v>
      </c>
      <c r="J27" s="41">
        <v>6.5</v>
      </c>
      <c r="K27" s="43">
        <v>6.5</v>
      </c>
      <c r="L27" s="43">
        <v>0</v>
      </c>
      <c r="M27" s="41">
        <v>0</v>
      </c>
      <c r="N27" s="41">
        <v>0</v>
      </c>
      <c r="O27" s="41">
        <v>0</v>
      </c>
      <c r="P27" s="52">
        <v>500</v>
      </c>
      <c r="Q27" s="43">
        <v>0</v>
      </c>
      <c r="R27" s="43">
        <v>0</v>
      </c>
      <c r="S27" s="34">
        <v>10.75</v>
      </c>
      <c r="T27" s="43">
        <v>10.75</v>
      </c>
      <c r="U27" s="43">
        <v>0</v>
      </c>
      <c r="V27" s="62"/>
      <c r="W27" s="32">
        <f>VLOOKUP(B27,'常规业务5-6'!$B$5:$V$61,21,0)</f>
        <v>0</v>
      </c>
    </row>
    <row r="28" customHeight="1" spans="1:23">
      <c r="A28" s="39">
        <v>45</v>
      </c>
      <c r="B28" s="47" t="s">
        <v>61</v>
      </c>
      <c r="C28" s="41">
        <v>1880</v>
      </c>
      <c r="D28" s="42">
        <v>5</v>
      </c>
      <c r="E28" s="41">
        <v>9.4</v>
      </c>
      <c r="F28" s="43">
        <v>4.9</v>
      </c>
      <c r="G28" s="43">
        <v>4.5</v>
      </c>
      <c r="H28" s="41">
        <v>2350</v>
      </c>
      <c r="I28" s="41">
        <v>3</v>
      </c>
      <c r="J28" s="41">
        <v>11.75</v>
      </c>
      <c r="K28" s="43">
        <v>4</v>
      </c>
      <c r="L28" s="43">
        <v>7.75</v>
      </c>
      <c r="M28" s="41">
        <v>0</v>
      </c>
      <c r="N28" s="41">
        <v>0</v>
      </c>
      <c r="O28" s="41">
        <v>0</v>
      </c>
      <c r="P28" s="52">
        <v>500</v>
      </c>
      <c r="Q28" s="43">
        <v>0</v>
      </c>
      <c r="R28" s="43">
        <v>0</v>
      </c>
      <c r="S28" s="34">
        <v>21.15</v>
      </c>
      <c r="T28" s="43">
        <v>8.9</v>
      </c>
      <c r="U28" s="43">
        <v>12.25</v>
      </c>
      <c r="V28" s="62"/>
      <c r="W28" s="32">
        <f>VLOOKUP(B28,'常规业务5-6'!$B$5:$V$61,21,0)</f>
        <v>0</v>
      </c>
    </row>
    <row r="29" customHeight="1" spans="1:23">
      <c r="A29" s="44">
        <v>31</v>
      </c>
      <c r="B29" s="47" t="s">
        <v>47</v>
      </c>
      <c r="C29" s="41">
        <v>4677</v>
      </c>
      <c r="D29" s="42">
        <v>18</v>
      </c>
      <c r="E29" s="41">
        <v>23.24</v>
      </c>
      <c r="F29" s="43">
        <v>21.72</v>
      </c>
      <c r="G29" s="43">
        <v>1.52</v>
      </c>
      <c r="H29" s="41">
        <v>4500</v>
      </c>
      <c r="I29" s="42">
        <v>5</v>
      </c>
      <c r="J29" s="41">
        <v>22.42</v>
      </c>
      <c r="K29" s="43">
        <v>22.42</v>
      </c>
      <c r="L29" s="43">
        <v>0</v>
      </c>
      <c r="M29" s="41">
        <v>0</v>
      </c>
      <c r="N29" s="42">
        <v>0</v>
      </c>
      <c r="O29" s="41">
        <v>0</v>
      </c>
      <c r="P29" s="52">
        <v>500</v>
      </c>
      <c r="Q29" s="43">
        <v>0</v>
      </c>
      <c r="R29" s="43">
        <v>0</v>
      </c>
      <c r="S29" s="34">
        <v>45.66</v>
      </c>
      <c r="T29" s="43">
        <v>44.14</v>
      </c>
      <c r="U29" s="43">
        <v>1.52</v>
      </c>
      <c r="V29" s="62"/>
      <c r="W29" s="32">
        <f>VLOOKUP(B29,'常规业务5-6'!$B$5:$V$61,21,0)</f>
        <v>0</v>
      </c>
    </row>
    <row r="30" customHeight="1" spans="1:23">
      <c r="A30" s="39">
        <v>35</v>
      </c>
      <c r="B30" s="47" t="s">
        <v>51</v>
      </c>
      <c r="C30" s="41">
        <v>10</v>
      </c>
      <c r="D30" s="42">
        <v>1</v>
      </c>
      <c r="E30" s="41">
        <v>0.05</v>
      </c>
      <c r="F30" s="43">
        <v>0.05</v>
      </c>
      <c r="G30" s="43">
        <v>0</v>
      </c>
      <c r="H30" s="41">
        <v>0</v>
      </c>
      <c r="I30" s="42">
        <v>0</v>
      </c>
      <c r="J30" s="41">
        <v>0</v>
      </c>
      <c r="K30" s="43">
        <v>0</v>
      </c>
      <c r="L30" s="43">
        <v>0</v>
      </c>
      <c r="M30" s="41">
        <v>95209.4</v>
      </c>
      <c r="N30" s="42">
        <v>836</v>
      </c>
      <c r="O30" s="41">
        <v>190.079999999998</v>
      </c>
      <c r="P30" s="52">
        <v>309.920000000002</v>
      </c>
      <c r="Q30" s="43">
        <v>190.079999999998</v>
      </c>
      <c r="R30" s="43">
        <v>0</v>
      </c>
      <c r="S30" s="34">
        <v>190.129999999998</v>
      </c>
      <c r="T30" s="43">
        <v>190.129999999998</v>
      </c>
      <c r="U30" s="43">
        <v>0</v>
      </c>
      <c r="V30" s="62"/>
      <c r="W30" s="32">
        <f>VLOOKUP(B30,'常规业务5-6'!$B$5:$V$61,21,0)</f>
        <v>0</v>
      </c>
    </row>
    <row r="31" customHeight="1" spans="1:23">
      <c r="A31" s="39">
        <v>49</v>
      </c>
      <c r="B31" s="47" t="s">
        <v>65</v>
      </c>
      <c r="C31" s="41">
        <v>650</v>
      </c>
      <c r="D31" s="42">
        <v>2</v>
      </c>
      <c r="E31" s="41">
        <v>3.02</v>
      </c>
      <c r="F31" s="43">
        <v>3.02</v>
      </c>
      <c r="G31" s="43">
        <v>0</v>
      </c>
      <c r="H31" s="41">
        <v>0</v>
      </c>
      <c r="I31" s="42">
        <v>0</v>
      </c>
      <c r="J31" s="41">
        <v>0</v>
      </c>
      <c r="K31" s="43">
        <v>0</v>
      </c>
      <c r="L31" s="43">
        <v>0</v>
      </c>
      <c r="M31" s="41">
        <v>0</v>
      </c>
      <c r="N31" s="41">
        <v>0</v>
      </c>
      <c r="O31" s="41">
        <v>0</v>
      </c>
      <c r="P31" s="52">
        <v>500</v>
      </c>
      <c r="Q31" s="43">
        <v>0</v>
      </c>
      <c r="R31" s="43">
        <v>0</v>
      </c>
      <c r="S31" s="34">
        <v>3.02</v>
      </c>
      <c r="T31" s="43">
        <v>3.02</v>
      </c>
      <c r="U31" s="43">
        <v>0</v>
      </c>
      <c r="V31" s="62"/>
      <c r="W31" s="32">
        <f>VLOOKUP(B31,'常规业务5-6'!$B$5:$V$61,21,0)</f>
        <v>0</v>
      </c>
    </row>
    <row r="32" customHeight="1" spans="1:23">
      <c r="A32" s="39">
        <v>38</v>
      </c>
      <c r="B32" s="47" t="s">
        <v>54</v>
      </c>
      <c r="C32" s="41">
        <v>7142</v>
      </c>
      <c r="D32" s="42">
        <v>25</v>
      </c>
      <c r="E32" s="41">
        <v>34.19</v>
      </c>
      <c r="F32" s="43">
        <v>25.66</v>
      </c>
      <c r="G32" s="43">
        <v>8.53</v>
      </c>
      <c r="H32" s="41">
        <v>3400</v>
      </c>
      <c r="I32" s="42">
        <v>4</v>
      </c>
      <c r="J32" s="41">
        <v>16.95</v>
      </c>
      <c r="K32" s="43">
        <v>16.95</v>
      </c>
      <c r="L32" s="43">
        <v>0</v>
      </c>
      <c r="M32" s="41">
        <v>83042.89</v>
      </c>
      <c r="N32" s="42">
        <v>621</v>
      </c>
      <c r="O32" s="41">
        <v>165.4</v>
      </c>
      <c r="P32" s="52">
        <v>334.6</v>
      </c>
      <c r="Q32" s="43">
        <v>165.4</v>
      </c>
      <c r="R32" s="43">
        <v>0</v>
      </c>
      <c r="S32" s="34">
        <v>216.54</v>
      </c>
      <c r="T32" s="43">
        <v>208.01</v>
      </c>
      <c r="U32" s="43">
        <v>8.53</v>
      </c>
      <c r="V32" s="62" t="s">
        <v>98</v>
      </c>
      <c r="W32" s="32">
        <f>VLOOKUP(B32,'常规业务5-6'!$B$5:$V$61,21,0)</f>
        <v>0</v>
      </c>
    </row>
    <row r="33" customHeight="1" spans="1:23">
      <c r="A33" s="39">
        <v>37</v>
      </c>
      <c r="B33" s="47" t="s">
        <v>53</v>
      </c>
      <c r="C33" s="41">
        <v>4500.6</v>
      </c>
      <c r="D33" s="42">
        <v>12</v>
      </c>
      <c r="E33" s="41">
        <v>19.64</v>
      </c>
      <c r="F33" s="43">
        <v>19.64</v>
      </c>
      <c r="G33" s="43">
        <v>0</v>
      </c>
      <c r="H33" s="41">
        <v>5150</v>
      </c>
      <c r="I33" s="42">
        <v>7</v>
      </c>
      <c r="J33" s="41">
        <v>25.71</v>
      </c>
      <c r="K33" s="43">
        <v>19.71</v>
      </c>
      <c r="L33" s="43">
        <v>6</v>
      </c>
      <c r="M33" s="41">
        <v>0</v>
      </c>
      <c r="N33" s="42">
        <v>0</v>
      </c>
      <c r="O33" s="41">
        <v>0</v>
      </c>
      <c r="P33" s="52">
        <v>500</v>
      </c>
      <c r="Q33" s="43">
        <v>0</v>
      </c>
      <c r="R33" s="43">
        <v>0</v>
      </c>
      <c r="S33" s="34">
        <v>45.35</v>
      </c>
      <c r="T33" s="43">
        <v>39.35</v>
      </c>
      <c r="U33" s="43">
        <v>6</v>
      </c>
      <c r="V33" s="62" t="s">
        <v>99</v>
      </c>
      <c r="W33" s="32">
        <f>VLOOKUP(B33,'常规业务5-6'!$B$5:$V$61,21,0)</f>
        <v>0</v>
      </c>
    </row>
    <row r="34" customHeight="1" spans="1:23">
      <c r="A34" s="39">
        <v>56</v>
      </c>
      <c r="B34" s="47" t="s">
        <v>72</v>
      </c>
      <c r="C34" s="41">
        <v>500</v>
      </c>
      <c r="D34" s="42">
        <v>1</v>
      </c>
      <c r="E34" s="41">
        <v>2.5</v>
      </c>
      <c r="F34" s="43">
        <v>2.5</v>
      </c>
      <c r="G34" s="43">
        <v>0</v>
      </c>
      <c r="H34" s="41">
        <v>0</v>
      </c>
      <c r="I34" s="42">
        <v>0</v>
      </c>
      <c r="J34" s="41">
        <v>0</v>
      </c>
      <c r="K34" s="43">
        <v>0</v>
      </c>
      <c r="L34" s="43">
        <v>0</v>
      </c>
      <c r="M34" s="41">
        <v>0</v>
      </c>
      <c r="N34" s="41">
        <v>0</v>
      </c>
      <c r="O34" s="41">
        <v>0</v>
      </c>
      <c r="P34" s="52">
        <v>500</v>
      </c>
      <c r="Q34" s="43">
        <v>0</v>
      </c>
      <c r="R34" s="43">
        <v>0</v>
      </c>
      <c r="S34" s="34">
        <v>2.5</v>
      </c>
      <c r="T34" s="43">
        <v>2.5</v>
      </c>
      <c r="U34" s="43">
        <v>0</v>
      </c>
      <c r="V34" s="62"/>
      <c r="W34" s="32">
        <f>VLOOKUP(B34,'常规业务5-6'!$B$5:$V$61,21,0)</f>
        <v>0</v>
      </c>
    </row>
    <row r="35" customHeight="1" spans="1:23">
      <c r="A35" s="39">
        <v>34</v>
      </c>
      <c r="B35" s="47" t="s">
        <v>50</v>
      </c>
      <c r="C35" s="41">
        <v>9748</v>
      </c>
      <c r="D35" s="42">
        <v>194</v>
      </c>
      <c r="E35" s="41">
        <v>49.41</v>
      </c>
      <c r="F35" s="43">
        <v>49.36</v>
      </c>
      <c r="G35" s="43">
        <v>0.0499999999999972</v>
      </c>
      <c r="H35" s="41">
        <v>4700</v>
      </c>
      <c r="I35" s="42">
        <v>7</v>
      </c>
      <c r="J35" s="41">
        <v>21.14</v>
      </c>
      <c r="K35" s="43">
        <v>21.14</v>
      </c>
      <c r="L35" s="43">
        <v>0</v>
      </c>
      <c r="M35" s="41">
        <v>0</v>
      </c>
      <c r="N35" s="42">
        <v>0</v>
      </c>
      <c r="O35" s="41">
        <v>0</v>
      </c>
      <c r="P35" s="52">
        <v>500</v>
      </c>
      <c r="Q35" s="43">
        <v>0</v>
      </c>
      <c r="R35" s="43">
        <v>0</v>
      </c>
      <c r="S35" s="34">
        <v>70.55</v>
      </c>
      <c r="T35" s="43">
        <v>70.5</v>
      </c>
      <c r="U35" s="43">
        <v>0.0499999999999972</v>
      </c>
      <c r="V35" s="62" t="s">
        <v>100</v>
      </c>
      <c r="W35" s="32">
        <f>VLOOKUP(B35,'常规业务5-6'!$B$5:$V$61,21,0)</f>
        <v>0</v>
      </c>
    </row>
    <row r="36" customHeight="1" spans="1:23">
      <c r="A36" s="39">
        <v>44</v>
      </c>
      <c r="B36" s="47" t="s">
        <v>60</v>
      </c>
      <c r="C36" s="41">
        <v>14842</v>
      </c>
      <c r="D36" s="42">
        <v>77</v>
      </c>
      <c r="E36" s="41">
        <v>74.06</v>
      </c>
      <c r="F36" s="43">
        <v>74.06</v>
      </c>
      <c r="G36" s="43">
        <v>0</v>
      </c>
      <c r="H36" s="41">
        <v>3500</v>
      </c>
      <c r="I36" s="42">
        <v>4</v>
      </c>
      <c r="J36" s="41">
        <v>17.5</v>
      </c>
      <c r="K36" s="43">
        <v>17.5</v>
      </c>
      <c r="L36" s="43">
        <v>0</v>
      </c>
      <c r="M36" s="41">
        <v>0</v>
      </c>
      <c r="N36" s="42">
        <v>0</v>
      </c>
      <c r="O36" s="41">
        <v>0</v>
      </c>
      <c r="P36" s="52">
        <v>500</v>
      </c>
      <c r="Q36" s="43">
        <v>0</v>
      </c>
      <c r="R36" s="43">
        <v>0</v>
      </c>
      <c r="S36" s="34">
        <v>91.56</v>
      </c>
      <c r="T36" s="43">
        <v>91.56</v>
      </c>
      <c r="U36" s="43">
        <v>0</v>
      </c>
      <c r="V36" s="62"/>
      <c r="W36" s="32">
        <f>VLOOKUP(B36,'常规业务5-6'!$B$5:$V$61,21,0)</f>
        <v>0</v>
      </c>
    </row>
    <row r="37" customHeight="1" spans="1:23">
      <c r="A37" s="39">
        <v>53</v>
      </c>
      <c r="B37" s="47" t="s">
        <v>69</v>
      </c>
      <c r="C37" s="41">
        <v>1040</v>
      </c>
      <c r="D37" s="42">
        <v>3</v>
      </c>
      <c r="E37" s="41">
        <v>5.2</v>
      </c>
      <c r="F37" s="43">
        <v>5.2</v>
      </c>
      <c r="G37" s="43">
        <v>0</v>
      </c>
      <c r="H37" s="41">
        <v>0</v>
      </c>
      <c r="I37" s="42">
        <v>0</v>
      </c>
      <c r="J37" s="41">
        <v>0</v>
      </c>
      <c r="K37" s="43">
        <v>0</v>
      </c>
      <c r="L37" s="43">
        <v>0</v>
      </c>
      <c r="M37" s="41">
        <v>0</v>
      </c>
      <c r="N37" s="42">
        <v>0</v>
      </c>
      <c r="O37" s="41">
        <v>0</v>
      </c>
      <c r="P37" s="52">
        <v>500</v>
      </c>
      <c r="Q37" s="43">
        <v>0</v>
      </c>
      <c r="R37" s="43">
        <v>0</v>
      </c>
      <c r="S37" s="34">
        <v>5.2</v>
      </c>
      <c r="T37" s="43">
        <v>5.2</v>
      </c>
      <c r="U37" s="43">
        <v>0</v>
      </c>
      <c r="V37" s="62"/>
      <c r="W37" s="32">
        <f>VLOOKUP(B37,'常规业务5-6'!$B$5:$V$61,21,0)</f>
        <v>0</v>
      </c>
    </row>
    <row r="38" customHeight="1" spans="1:23">
      <c r="A38" s="39">
        <v>46</v>
      </c>
      <c r="B38" s="47" t="s">
        <v>62</v>
      </c>
      <c r="C38" s="41">
        <v>6708</v>
      </c>
      <c r="D38" s="42">
        <v>34</v>
      </c>
      <c r="E38" s="41">
        <v>33.45</v>
      </c>
      <c r="F38" s="43">
        <v>32.56</v>
      </c>
      <c r="G38" s="43">
        <v>0.890000000000001</v>
      </c>
      <c r="H38" s="41">
        <v>0</v>
      </c>
      <c r="I38" s="42">
        <v>0</v>
      </c>
      <c r="J38" s="41">
        <v>0</v>
      </c>
      <c r="K38" s="43">
        <v>0</v>
      </c>
      <c r="L38" s="43">
        <v>0</v>
      </c>
      <c r="M38" s="41">
        <v>56852.1</v>
      </c>
      <c r="N38" s="41">
        <v>402</v>
      </c>
      <c r="O38" s="41">
        <v>112.81</v>
      </c>
      <c r="P38" s="52">
        <v>387.19</v>
      </c>
      <c r="Q38" s="41">
        <v>112.81</v>
      </c>
      <c r="R38" s="43">
        <v>0</v>
      </c>
      <c r="S38" s="34">
        <v>146.26</v>
      </c>
      <c r="T38" s="43">
        <v>145.37</v>
      </c>
      <c r="U38" s="43">
        <v>0.890000000000001</v>
      </c>
      <c r="V38" s="62" t="s">
        <v>101</v>
      </c>
      <c r="W38" s="32">
        <f>VLOOKUP(B38,'常规业务5-6'!$B$5:$V$61,21,0)</f>
        <v>0</v>
      </c>
    </row>
    <row r="39" customHeight="1" spans="1:23">
      <c r="A39" s="39">
        <v>42</v>
      </c>
      <c r="B39" s="47" t="s">
        <v>58</v>
      </c>
      <c r="C39" s="41">
        <v>6144</v>
      </c>
      <c r="D39" s="42">
        <v>30</v>
      </c>
      <c r="E39" s="41">
        <v>30.72</v>
      </c>
      <c r="F39" s="43">
        <v>30.72</v>
      </c>
      <c r="G39" s="43">
        <v>0</v>
      </c>
      <c r="H39" s="41">
        <v>3899</v>
      </c>
      <c r="I39" s="42">
        <v>4</v>
      </c>
      <c r="J39" s="41">
        <v>19.5</v>
      </c>
      <c r="K39" s="43">
        <v>19.5</v>
      </c>
      <c r="L39" s="43">
        <v>0</v>
      </c>
      <c r="M39" s="41">
        <v>1501</v>
      </c>
      <c r="N39" s="41">
        <v>5</v>
      </c>
      <c r="O39" s="41">
        <v>3</v>
      </c>
      <c r="P39" s="52">
        <v>497</v>
      </c>
      <c r="Q39" s="41">
        <v>3</v>
      </c>
      <c r="R39" s="43">
        <v>0</v>
      </c>
      <c r="S39" s="34">
        <v>53.22</v>
      </c>
      <c r="T39" s="43">
        <v>53.22</v>
      </c>
      <c r="U39" s="43">
        <v>0</v>
      </c>
      <c r="V39" s="62"/>
      <c r="W39" s="32">
        <f>VLOOKUP(B39,'常规业务5-6'!$B$5:$V$61,21,0)</f>
        <v>0</v>
      </c>
    </row>
    <row r="40" customHeight="1" spans="1:23">
      <c r="A40" s="39">
        <v>57</v>
      </c>
      <c r="B40" s="47" t="s">
        <v>73</v>
      </c>
      <c r="C40" s="41">
        <v>5095</v>
      </c>
      <c r="D40" s="42">
        <v>28</v>
      </c>
      <c r="E40" s="41">
        <v>25.48</v>
      </c>
      <c r="F40" s="43">
        <v>25.48</v>
      </c>
      <c r="G40" s="43">
        <v>0</v>
      </c>
      <c r="H40" s="41">
        <v>0</v>
      </c>
      <c r="I40" s="41">
        <v>0</v>
      </c>
      <c r="J40" s="41">
        <v>0</v>
      </c>
      <c r="K40" s="41">
        <v>0</v>
      </c>
      <c r="L40" s="41">
        <v>0</v>
      </c>
      <c r="M40" s="41">
        <v>0</v>
      </c>
      <c r="N40" s="41">
        <v>0</v>
      </c>
      <c r="O40" s="41">
        <v>0</v>
      </c>
      <c r="P40" s="52">
        <v>500</v>
      </c>
      <c r="Q40" s="41">
        <v>0</v>
      </c>
      <c r="R40" s="43">
        <v>0</v>
      </c>
      <c r="S40" s="34">
        <v>25.48</v>
      </c>
      <c r="T40" s="43">
        <v>25.48</v>
      </c>
      <c r="U40" s="43">
        <v>0</v>
      </c>
      <c r="V40" s="62"/>
      <c r="W40" s="32">
        <f>VLOOKUP(B40,'常规业务5-6'!$B$5:$V$61,21,0)</f>
        <v>0</v>
      </c>
    </row>
    <row r="41" customHeight="1" spans="1:23">
      <c r="A41" s="39">
        <v>54</v>
      </c>
      <c r="B41" s="47" t="s">
        <v>70</v>
      </c>
      <c r="C41" s="41">
        <v>5970</v>
      </c>
      <c r="D41" s="42">
        <v>23</v>
      </c>
      <c r="E41" s="41">
        <v>29.6</v>
      </c>
      <c r="F41" s="43">
        <v>29.6</v>
      </c>
      <c r="G41" s="43">
        <v>0</v>
      </c>
      <c r="H41" s="41">
        <v>6450</v>
      </c>
      <c r="I41" s="42">
        <v>7</v>
      </c>
      <c r="J41" s="41">
        <v>32</v>
      </c>
      <c r="K41" s="43">
        <v>32</v>
      </c>
      <c r="L41" s="43">
        <v>0</v>
      </c>
      <c r="M41" s="41">
        <v>13741.6</v>
      </c>
      <c r="N41" s="42">
        <v>88</v>
      </c>
      <c r="O41" s="41">
        <v>27.48</v>
      </c>
      <c r="P41" s="52">
        <v>472.52</v>
      </c>
      <c r="Q41" s="43">
        <v>27.48</v>
      </c>
      <c r="R41" s="43">
        <v>0</v>
      </c>
      <c r="S41" s="34">
        <v>89.08</v>
      </c>
      <c r="T41" s="43">
        <v>89.08</v>
      </c>
      <c r="U41" s="43">
        <v>0</v>
      </c>
      <c r="V41" s="62"/>
      <c r="W41" s="32">
        <f>VLOOKUP(B41,'常规业务5-6'!$B$5:$V$61,21,0)</f>
        <v>0</v>
      </c>
    </row>
    <row r="42" customHeight="1" spans="1:23">
      <c r="A42" s="39">
        <v>40</v>
      </c>
      <c r="B42" s="47" t="s">
        <v>56</v>
      </c>
      <c r="C42" s="41">
        <v>11585</v>
      </c>
      <c r="D42" s="42">
        <v>105</v>
      </c>
      <c r="E42" s="41">
        <v>57.9</v>
      </c>
      <c r="F42" s="43">
        <v>57.8</v>
      </c>
      <c r="G42" s="43">
        <v>0.100000000000001</v>
      </c>
      <c r="H42" s="41">
        <v>0</v>
      </c>
      <c r="I42" s="41">
        <v>0</v>
      </c>
      <c r="J42" s="41">
        <v>0</v>
      </c>
      <c r="K42" s="41">
        <v>0</v>
      </c>
      <c r="L42" s="41">
        <v>0</v>
      </c>
      <c r="M42" s="41">
        <v>0</v>
      </c>
      <c r="N42" s="42">
        <v>0</v>
      </c>
      <c r="O42" s="41">
        <v>0</v>
      </c>
      <c r="P42" s="52">
        <v>500</v>
      </c>
      <c r="Q42" s="43">
        <v>0</v>
      </c>
      <c r="R42" s="43">
        <v>0</v>
      </c>
      <c r="S42" s="34">
        <v>57.9</v>
      </c>
      <c r="T42" s="43">
        <v>57.8</v>
      </c>
      <c r="U42" s="43">
        <v>0.100000000000001</v>
      </c>
      <c r="V42" s="62" t="s">
        <v>102</v>
      </c>
      <c r="W42" s="32">
        <f>VLOOKUP(B42,'常规业务5-6'!$B$5:$V$61,21,0)</f>
        <v>0</v>
      </c>
    </row>
    <row r="43" customHeight="1" spans="1:23">
      <c r="A43" s="39">
        <v>50</v>
      </c>
      <c r="B43" s="47" t="s">
        <v>66</v>
      </c>
      <c r="C43" s="41">
        <v>6267.32</v>
      </c>
      <c r="D43" s="42">
        <v>31</v>
      </c>
      <c r="E43" s="41">
        <v>30.96</v>
      </c>
      <c r="F43" s="43">
        <v>30.96</v>
      </c>
      <c r="G43" s="43">
        <v>0</v>
      </c>
      <c r="H43" s="41">
        <v>8675</v>
      </c>
      <c r="I43" s="42">
        <v>10</v>
      </c>
      <c r="J43" s="41">
        <v>42.63</v>
      </c>
      <c r="K43" s="43">
        <v>42.63</v>
      </c>
      <c r="L43" s="43">
        <v>0</v>
      </c>
      <c r="M43" s="41">
        <v>13941.5</v>
      </c>
      <c r="N43" s="42">
        <v>87</v>
      </c>
      <c r="O43" s="41">
        <v>26.48</v>
      </c>
      <c r="P43" s="52">
        <v>473.52</v>
      </c>
      <c r="Q43" s="43">
        <v>26.48</v>
      </c>
      <c r="R43" s="43">
        <v>0</v>
      </c>
      <c r="S43" s="34">
        <v>100.07</v>
      </c>
      <c r="T43" s="43">
        <v>100.07</v>
      </c>
      <c r="U43" s="43">
        <v>0</v>
      </c>
      <c r="V43" s="62"/>
      <c r="W43" s="32">
        <f>VLOOKUP(B43,'常规业务5-6'!$B$5:$V$61,21,0)</f>
        <v>0</v>
      </c>
    </row>
    <row r="44" customHeight="1" spans="1:23">
      <c r="A44" s="39">
        <v>51</v>
      </c>
      <c r="B44" s="47" t="s">
        <v>67</v>
      </c>
      <c r="C44" s="41">
        <v>7110</v>
      </c>
      <c r="D44" s="42">
        <v>35</v>
      </c>
      <c r="E44" s="41">
        <v>35.55</v>
      </c>
      <c r="F44" s="43">
        <v>35.55</v>
      </c>
      <c r="G44" s="43">
        <v>0</v>
      </c>
      <c r="H44" s="41">
        <v>1000</v>
      </c>
      <c r="I44" s="41">
        <v>1</v>
      </c>
      <c r="J44" s="41">
        <v>5</v>
      </c>
      <c r="K44" s="41">
        <v>5</v>
      </c>
      <c r="L44" s="41">
        <v>0</v>
      </c>
      <c r="M44" s="41">
        <v>0</v>
      </c>
      <c r="N44" s="41">
        <v>0</v>
      </c>
      <c r="O44" s="41">
        <v>0</v>
      </c>
      <c r="P44" s="52">
        <v>500</v>
      </c>
      <c r="Q44" s="41">
        <v>0</v>
      </c>
      <c r="R44" s="43">
        <v>0</v>
      </c>
      <c r="S44" s="34">
        <v>40.55</v>
      </c>
      <c r="T44" s="43">
        <v>40.55</v>
      </c>
      <c r="U44" s="43">
        <v>0</v>
      </c>
      <c r="V44" s="62"/>
      <c r="W44" s="63">
        <f>VLOOKUP(B44,'常规业务5-6'!$B$5:$V$61,21,0)</f>
        <v>0</v>
      </c>
    </row>
    <row r="45" customHeight="1" spans="1:23">
      <c r="A45" s="39">
        <v>33</v>
      </c>
      <c r="B45" s="47" t="s">
        <v>89</v>
      </c>
      <c r="C45" s="41">
        <v>6823.68</v>
      </c>
      <c r="D45" s="42">
        <v>8</v>
      </c>
      <c r="E45" s="41">
        <v>19.357672</v>
      </c>
      <c r="F45" s="43">
        <v>19.357672</v>
      </c>
      <c r="G45" s="43">
        <v>0</v>
      </c>
      <c r="H45" s="41">
        <v>15710</v>
      </c>
      <c r="I45" s="42">
        <v>21</v>
      </c>
      <c r="J45" s="41">
        <v>84.662328</v>
      </c>
      <c r="K45" s="43">
        <v>84.662328</v>
      </c>
      <c r="L45" s="43">
        <v>0</v>
      </c>
      <c r="M45" s="41">
        <v>0</v>
      </c>
      <c r="N45" s="42">
        <v>0</v>
      </c>
      <c r="O45" s="41">
        <v>0</v>
      </c>
      <c r="P45" s="52">
        <v>500</v>
      </c>
      <c r="Q45" s="43">
        <v>0</v>
      </c>
      <c r="R45" s="43">
        <v>0</v>
      </c>
      <c r="S45" s="34">
        <v>104.02</v>
      </c>
      <c r="T45" s="43">
        <v>104.02</v>
      </c>
      <c r="U45" s="43">
        <v>0</v>
      </c>
      <c r="V45" s="62"/>
      <c r="W45" s="32">
        <f>VLOOKUP(B45,'常规业务5-6'!$B$5:$V$61,21,0)</f>
        <v>0</v>
      </c>
    </row>
    <row r="46" customHeight="1" spans="1:23">
      <c r="A46" s="39">
        <v>41</v>
      </c>
      <c r="B46" s="47" t="s">
        <v>57</v>
      </c>
      <c r="C46" s="41">
        <v>4208.84</v>
      </c>
      <c r="D46" s="42">
        <v>48</v>
      </c>
      <c r="E46" s="41">
        <v>19.9</v>
      </c>
      <c r="F46" s="43">
        <v>19.9</v>
      </c>
      <c r="G46" s="43">
        <v>0</v>
      </c>
      <c r="H46" s="41">
        <v>1000</v>
      </c>
      <c r="I46" s="42">
        <v>1</v>
      </c>
      <c r="J46" s="41">
        <v>4.99</v>
      </c>
      <c r="K46" s="43">
        <v>4.99</v>
      </c>
      <c r="L46" s="43">
        <v>0</v>
      </c>
      <c r="M46" s="41">
        <v>0</v>
      </c>
      <c r="N46" s="42">
        <v>0</v>
      </c>
      <c r="O46" s="41">
        <v>0</v>
      </c>
      <c r="P46" s="52">
        <v>500</v>
      </c>
      <c r="Q46" s="43">
        <v>0</v>
      </c>
      <c r="R46" s="43">
        <v>0</v>
      </c>
      <c r="S46" s="34">
        <v>24.89</v>
      </c>
      <c r="T46" s="43">
        <v>24.89</v>
      </c>
      <c r="U46" s="43">
        <v>0</v>
      </c>
      <c r="V46" s="62"/>
      <c r="W46" s="32">
        <f>VLOOKUP(B46,'常规业务5-6'!$B$5:$V$61,21,0)</f>
        <v>0</v>
      </c>
    </row>
    <row r="47" customHeight="1" spans="1:23">
      <c r="A47" s="39">
        <v>36</v>
      </c>
      <c r="B47" s="47" t="s">
        <v>52</v>
      </c>
      <c r="C47" s="41">
        <v>970</v>
      </c>
      <c r="D47" s="42">
        <v>2</v>
      </c>
      <c r="E47" s="41">
        <v>4.83</v>
      </c>
      <c r="F47" s="43">
        <v>4.83</v>
      </c>
      <c r="G47" s="43">
        <v>0</v>
      </c>
      <c r="H47" s="41">
        <v>800</v>
      </c>
      <c r="I47" s="42">
        <v>1</v>
      </c>
      <c r="J47" s="41">
        <v>3.98</v>
      </c>
      <c r="K47" s="43">
        <v>3.98</v>
      </c>
      <c r="L47" s="43">
        <v>0</v>
      </c>
      <c r="M47" s="41">
        <v>0</v>
      </c>
      <c r="N47" s="42">
        <v>0</v>
      </c>
      <c r="O47" s="41">
        <v>0</v>
      </c>
      <c r="P47" s="52">
        <v>500</v>
      </c>
      <c r="Q47" s="43">
        <v>0</v>
      </c>
      <c r="R47" s="43">
        <v>0</v>
      </c>
      <c r="S47" s="34">
        <v>8.81</v>
      </c>
      <c r="T47" s="43">
        <v>8.81</v>
      </c>
      <c r="U47" s="43">
        <v>0</v>
      </c>
      <c r="V47" s="62"/>
      <c r="W47" s="63">
        <f>VLOOKUP(B47,'常规业务5-6'!$B$5:$V$61,21,0)</f>
        <v>0</v>
      </c>
    </row>
    <row r="49" customHeight="1" spans="3:21">
      <c r="C49" s="32">
        <f>SUM(C3:C48)</f>
        <v>436299.697369</v>
      </c>
      <c r="D49" s="32">
        <f t="shared" ref="D49:U49" si="0">SUM(D3:D48)</f>
        <v>2041</v>
      </c>
      <c r="E49" s="32">
        <f t="shared" si="0"/>
        <v>2130.067672</v>
      </c>
      <c r="F49" s="32">
        <f t="shared" si="0"/>
        <v>2037.687672</v>
      </c>
      <c r="G49" s="32">
        <f t="shared" si="0"/>
        <v>92.38</v>
      </c>
      <c r="H49" s="32">
        <f t="shared" si="0"/>
        <v>213926</v>
      </c>
      <c r="I49" s="32">
        <f t="shared" si="0"/>
        <v>248</v>
      </c>
      <c r="J49" s="32">
        <f t="shared" si="0"/>
        <v>1034.072328</v>
      </c>
      <c r="K49" s="32">
        <f t="shared" si="0"/>
        <v>926.612328</v>
      </c>
      <c r="L49" s="32">
        <f t="shared" si="0"/>
        <v>107.46</v>
      </c>
      <c r="M49" s="32">
        <f t="shared" si="0"/>
        <v>676726.19</v>
      </c>
      <c r="N49" s="32">
        <f t="shared" si="0"/>
        <v>6871</v>
      </c>
      <c r="O49" s="32">
        <f t="shared" si="0"/>
        <v>1328.99</v>
      </c>
      <c r="P49" s="32">
        <f t="shared" si="0"/>
        <v>21171.01</v>
      </c>
      <c r="Q49" s="32">
        <f t="shared" si="0"/>
        <v>1328.67</v>
      </c>
      <c r="R49" s="32">
        <f t="shared" si="0"/>
        <v>0.319999999999808</v>
      </c>
      <c r="S49" s="32">
        <f t="shared" si="0"/>
        <v>4493.13</v>
      </c>
      <c r="T49" s="32">
        <f t="shared" si="0"/>
        <v>4292.97</v>
      </c>
      <c r="U49" s="32">
        <f t="shared" si="0"/>
        <v>200.16</v>
      </c>
    </row>
  </sheetData>
  <autoFilter ref="A2:W47">
    <extLst/>
  </autoFilter>
  <mergeCells count="8">
    <mergeCell ref="C1:L1"/>
    <mergeCell ref="M1:R1"/>
    <mergeCell ref="A1:A2"/>
    <mergeCell ref="B1:B2"/>
    <mergeCell ref="S1:S2"/>
    <mergeCell ref="T1:T2"/>
    <mergeCell ref="U1:U2"/>
    <mergeCell ref="V1:V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6"/>
  <sheetViews>
    <sheetView zoomScale="70" zoomScaleNormal="70" workbookViewId="0">
      <selection activeCell="K16" sqref="K16"/>
    </sheetView>
  </sheetViews>
  <sheetFormatPr defaultColWidth="9" defaultRowHeight="20.1"/>
  <cols>
    <col min="1" max="1" width="9" style="7"/>
    <col min="2" max="2" width="12.1261261261261" style="7" customWidth="1"/>
    <col min="3" max="3" width="19" style="7"/>
    <col min="4" max="4" width="9" style="7"/>
    <col min="5" max="5" width="17.3783783783784" style="7"/>
    <col min="6" max="6" width="22.1261261261261" style="7"/>
    <col min="7" max="7" width="19" style="7"/>
    <col min="8" max="8" width="10.6216216216216" style="7"/>
    <col min="9" max="9" width="9" style="7"/>
    <col min="10" max="10" width="20.6216216216216" style="7"/>
    <col min="11" max="13" width="19" style="7"/>
    <col min="14" max="14" width="9" style="7"/>
    <col min="15" max="17" width="19" style="7"/>
    <col min="18" max="18" width="17.3783783783784" style="7"/>
    <col min="19" max="21" width="19" style="7"/>
    <col min="22" max="22" width="9" style="7"/>
    <col min="23" max="23" width="19" style="7"/>
    <col min="24" max="16384" width="9" style="7"/>
  </cols>
  <sheetData>
    <row r="1" s="5" customFormat="1" ht="79.9" customHeight="1" spans="1:23">
      <c r="A1" s="9" t="s">
        <v>1</v>
      </c>
      <c r="B1" s="9" t="s">
        <v>2</v>
      </c>
      <c r="C1" s="10" t="s">
        <v>3</v>
      </c>
      <c r="D1" s="11"/>
      <c r="E1" s="10"/>
      <c r="F1" s="12"/>
      <c r="G1" s="12"/>
      <c r="H1" s="10"/>
      <c r="I1" s="11"/>
      <c r="J1" s="10"/>
      <c r="K1" s="12"/>
      <c r="L1" s="12"/>
      <c r="M1" s="10" t="s">
        <v>4</v>
      </c>
      <c r="N1" s="11"/>
      <c r="O1" s="10"/>
      <c r="P1" s="12"/>
      <c r="Q1" s="12"/>
      <c r="R1" s="12"/>
      <c r="S1" s="12" t="s">
        <v>5</v>
      </c>
      <c r="T1" s="13" t="s">
        <v>6</v>
      </c>
      <c r="U1" s="13" t="s">
        <v>7</v>
      </c>
      <c r="V1" s="27" t="s">
        <v>8</v>
      </c>
      <c r="W1" s="28" t="s">
        <v>105</v>
      </c>
    </row>
    <row r="2" s="5" customFormat="1" ht="85.15" customHeight="1" spans="1:23">
      <c r="A2" s="9"/>
      <c r="B2" s="9"/>
      <c r="C2" s="10" t="s">
        <v>9</v>
      </c>
      <c r="D2" s="11" t="s">
        <v>10</v>
      </c>
      <c r="E2" s="10" t="s">
        <v>11</v>
      </c>
      <c r="F2" s="13" t="s">
        <v>12</v>
      </c>
      <c r="G2" s="13" t="s">
        <v>13</v>
      </c>
      <c r="H2" s="10" t="s">
        <v>14</v>
      </c>
      <c r="I2" s="11" t="s">
        <v>10</v>
      </c>
      <c r="J2" s="10" t="s">
        <v>11</v>
      </c>
      <c r="K2" s="13" t="s">
        <v>12</v>
      </c>
      <c r="L2" s="13" t="s">
        <v>13</v>
      </c>
      <c r="M2" s="10" t="s">
        <v>15</v>
      </c>
      <c r="N2" s="11" t="s">
        <v>10</v>
      </c>
      <c r="O2" s="10" t="s">
        <v>11</v>
      </c>
      <c r="P2" s="12" t="s">
        <v>16</v>
      </c>
      <c r="Q2" s="13" t="s">
        <v>12</v>
      </c>
      <c r="R2" s="13" t="s">
        <v>13</v>
      </c>
      <c r="S2" s="12"/>
      <c r="T2" s="13"/>
      <c r="U2" s="13"/>
      <c r="V2" s="27"/>
      <c r="W2" s="28"/>
    </row>
    <row r="3" spans="1:23">
      <c r="A3" s="14" t="s">
        <v>74</v>
      </c>
      <c r="B3" s="14">
        <v>9</v>
      </c>
      <c r="C3" s="14">
        <v>144776.457369</v>
      </c>
      <c r="D3" s="14">
        <v>609</v>
      </c>
      <c r="E3" s="14">
        <v>707</v>
      </c>
      <c r="F3" s="14">
        <v>689.17</v>
      </c>
      <c r="G3" s="14">
        <v>17.83</v>
      </c>
      <c r="H3" s="14">
        <v>94852</v>
      </c>
      <c r="I3" s="14">
        <v>105</v>
      </c>
      <c r="J3" s="14">
        <v>443.56</v>
      </c>
      <c r="K3" s="14">
        <v>388.6</v>
      </c>
      <c r="L3" s="14">
        <v>54.96</v>
      </c>
      <c r="M3" s="14">
        <v>254889.9</v>
      </c>
      <c r="N3" s="14">
        <v>3396</v>
      </c>
      <c r="O3" s="14">
        <v>488.75</v>
      </c>
      <c r="P3" s="14">
        <v>4011.25</v>
      </c>
      <c r="Q3" s="14">
        <v>488.75</v>
      </c>
      <c r="R3" s="14">
        <v>0</v>
      </c>
      <c r="S3" s="14">
        <v>1639.31</v>
      </c>
      <c r="T3" s="14">
        <v>1566.52</v>
      </c>
      <c r="U3" s="14">
        <v>72.79</v>
      </c>
      <c r="V3" s="14"/>
      <c r="W3" s="14"/>
    </row>
    <row r="4" s="6" customFormat="1" ht="33" customHeight="1" spans="1:23">
      <c r="A4" s="15" t="s">
        <v>1</v>
      </c>
      <c r="B4" s="15" t="s">
        <v>2</v>
      </c>
      <c r="C4" s="16" t="s">
        <v>3</v>
      </c>
      <c r="D4" s="17"/>
      <c r="E4" s="16"/>
      <c r="F4" s="18"/>
      <c r="G4" s="18"/>
      <c r="H4" s="16"/>
      <c r="I4" s="17"/>
      <c r="J4" s="16"/>
      <c r="K4" s="18"/>
      <c r="L4" s="18"/>
      <c r="M4" s="16" t="s">
        <v>4</v>
      </c>
      <c r="N4" s="17"/>
      <c r="O4" s="16"/>
      <c r="P4" s="18"/>
      <c r="Q4" s="18"/>
      <c r="R4" s="18"/>
      <c r="S4" s="18" t="s">
        <v>5</v>
      </c>
      <c r="T4" s="19" t="s">
        <v>6</v>
      </c>
      <c r="U4" s="19" t="s">
        <v>7</v>
      </c>
      <c r="V4" s="29" t="s">
        <v>8</v>
      </c>
      <c r="W4" s="30"/>
    </row>
    <row r="5" s="6" customFormat="1" ht="61" customHeight="1" spans="1:23">
      <c r="A5" s="15"/>
      <c r="B5" s="15"/>
      <c r="C5" s="16" t="s">
        <v>9</v>
      </c>
      <c r="D5" s="17" t="s">
        <v>10</v>
      </c>
      <c r="E5" s="16" t="s">
        <v>11</v>
      </c>
      <c r="F5" s="19" t="s">
        <v>12</v>
      </c>
      <c r="G5" s="19" t="s">
        <v>13</v>
      </c>
      <c r="H5" s="16" t="s">
        <v>14</v>
      </c>
      <c r="I5" s="17" t="s">
        <v>10</v>
      </c>
      <c r="J5" s="16" t="s">
        <v>11</v>
      </c>
      <c r="K5" s="19" t="s">
        <v>12</v>
      </c>
      <c r="L5" s="19" t="s">
        <v>13</v>
      </c>
      <c r="M5" s="16" t="s">
        <v>15</v>
      </c>
      <c r="N5" s="17" t="s">
        <v>10</v>
      </c>
      <c r="O5" s="16" t="s">
        <v>11</v>
      </c>
      <c r="P5" s="18" t="s">
        <v>16</v>
      </c>
      <c r="Q5" s="19" t="s">
        <v>12</v>
      </c>
      <c r="R5" s="19" t="s">
        <v>13</v>
      </c>
      <c r="S5" s="18"/>
      <c r="T5" s="19"/>
      <c r="U5" s="19"/>
      <c r="V5" s="29"/>
      <c r="W5" s="30"/>
    </row>
    <row r="6" spans="1:23">
      <c r="A6" s="14" t="s">
        <v>74</v>
      </c>
      <c r="B6" s="14">
        <v>18</v>
      </c>
      <c r="C6" s="14">
        <v>192208.8</v>
      </c>
      <c r="D6" s="14">
        <v>773</v>
      </c>
      <c r="E6" s="14">
        <v>947.25</v>
      </c>
      <c r="F6" s="14">
        <v>882.27</v>
      </c>
      <c r="G6" s="14">
        <v>64.98</v>
      </c>
      <c r="H6" s="14">
        <v>64790</v>
      </c>
      <c r="I6" s="14">
        <v>76</v>
      </c>
      <c r="J6" s="14">
        <v>316.45</v>
      </c>
      <c r="K6" s="14">
        <v>269.95</v>
      </c>
      <c r="L6" s="14">
        <v>46.5</v>
      </c>
      <c r="M6" s="14">
        <v>157547.8</v>
      </c>
      <c r="N6" s="14">
        <v>1436</v>
      </c>
      <c r="O6" s="14">
        <v>314.99</v>
      </c>
      <c r="P6" s="14">
        <v>8685.01</v>
      </c>
      <c r="Q6" s="14">
        <v>314.67</v>
      </c>
      <c r="R6" s="14">
        <v>0.319999999999808</v>
      </c>
      <c r="S6" s="14">
        <v>1578.69</v>
      </c>
      <c r="T6" s="14">
        <v>1466.89</v>
      </c>
      <c r="U6" s="14">
        <v>111.8</v>
      </c>
      <c r="V6" s="14"/>
      <c r="W6" s="14">
        <v>104.498356164384</v>
      </c>
    </row>
    <row r="7" s="7" customFormat="1" ht="80" customHeight="1" spans="1:23">
      <c r="A7" s="20" t="s">
        <v>1</v>
      </c>
      <c r="B7" s="9" t="s">
        <v>2</v>
      </c>
      <c r="C7" s="10" t="s">
        <v>3</v>
      </c>
      <c r="D7" s="11"/>
      <c r="E7" s="10"/>
      <c r="F7" s="12"/>
      <c r="G7" s="12"/>
      <c r="H7" s="10"/>
      <c r="I7" s="11"/>
      <c r="J7" s="10"/>
      <c r="K7" s="12"/>
      <c r="L7" s="12"/>
      <c r="M7" s="10" t="s">
        <v>4</v>
      </c>
      <c r="N7" s="11"/>
      <c r="O7" s="10"/>
      <c r="P7" s="12"/>
      <c r="Q7" s="12"/>
      <c r="R7" s="12"/>
      <c r="S7" s="12" t="s">
        <v>5</v>
      </c>
      <c r="T7" s="13" t="s">
        <v>6</v>
      </c>
      <c r="U7" s="13" t="s">
        <v>7</v>
      </c>
      <c r="V7" s="27" t="s">
        <v>8</v>
      </c>
      <c r="W7" s="31" t="s">
        <v>105</v>
      </c>
    </row>
    <row r="8" s="7" customFormat="1" ht="85" customHeight="1" spans="1:23">
      <c r="A8" s="20"/>
      <c r="B8" s="9"/>
      <c r="C8" s="10" t="s">
        <v>9</v>
      </c>
      <c r="D8" s="11" t="s">
        <v>10</v>
      </c>
      <c r="E8" s="10" t="s">
        <v>11</v>
      </c>
      <c r="F8" s="13" t="s">
        <v>12</v>
      </c>
      <c r="G8" s="13" t="s">
        <v>13</v>
      </c>
      <c r="H8" s="10" t="s">
        <v>14</v>
      </c>
      <c r="I8" s="11" t="s">
        <v>10</v>
      </c>
      <c r="J8" s="10" t="s">
        <v>11</v>
      </c>
      <c r="K8" s="13" t="s">
        <v>12</v>
      </c>
      <c r="L8" s="13" t="s">
        <v>13</v>
      </c>
      <c r="M8" s="10" t="s">
        <v>15</v>
      </c>
      <c r="N8" s="11" t="s">
        <v>10</v>
      </c>
      <c r="O8" s="10" t="s">
        <v>11</v>
      </c>
      <c r="P8" s="12" t="s">
        <v>16</v>
      </c>
      <c r="Q8" s="13" t="s">
        <v>12</v>
      </c>
      <c r="R8" s="13" t="s">
        <v>13</v>
      </c>
      <c r="S8" s="12"/>
      <c r="T8" s="13"/>
      <c r="U8" s="13"/>
      <c r="V8" s="27"/>
      <c r="W8" s="31"/>
    </row>
    <row r="9" spans="1:23">
      <c r="A9" s="14" t="s">
        <v>74</v>
      </c>
      <c r="B9" s="14">
        <v>18</v>
      </c>
      <c r="C9" s="14">
        <v>99314.44</v>
      </c>
      <c r="D9" s="14">
        <v>659</v>
      </c>
      <c r="E9" s="14">
        <v>475.817672</v>
      </c>
      <c r="F9" s="14">
        <v>466.247672</v>
      </c>
      <c r="G9" s="14">
        <v>9.56999999999999</v>
      </c>
      <c r="H9" s="14">
        <v>54284</v>
      </c>
      <c r="I9" s="14">
        <v>67</v>
      </c>
      <c r="J9" s="14">
        <v>274.062328</v>
      </c>
      <c r="K9" s="14">
        <v>268.062328</v>
      </c>
      <c r="L9" s="14">
        <v>6</v>
      </c>
      <c r="M9" s="14">
        <v>264288.49</v>
      </c>
      <c r="N9" s="14">
        <v>2039</v>
      </c>
      <c r="O9" s="14">
        <v>525.249999999998</v>
      </c>
      <c r="P9" s="14"/>
      <c r="Q9" s="14">
        <v>525.249999999998</v>
      </c>
      <c r="R9" s="14">
        <v>0</v>
      </c>
      <c r="S9" s="14">
        <v>1275.13</v>
      </c>
      <c r="T9" s="14">
        <v>1259.56</v>
      </c>
      <c r="U9" s="14">
        <v>15.57</v>
      </c>
      <c r="V9" s="14"/>
      <c r="W9" s="14"/>
    </row>
    <row r="10" s="8" customFormat="1" spans="1:23">
      <c r="A10" s="21"/>
      <c r="B10" s="21">
        <f>+B3+B6+B9</f>
        <v>45</v>
      </c>
      <c r="C10" s="21">
        <f>+C9+C6+C3</f>
        <v>436299.697369</v>
      </c>
      <c r="D10" s="21">
        <f t="shared" ref="C10:W10" si="0">+D9+D6+D3</f>
        <v>2041</v>
      </c>
      <c r="E10" s="21">
        <f t="shared" si="0"/>
        <v>2130.067672</v>
      </c>
      <c r="F10" s="21">
        <f t="shared" si="0"/>
        <v>2037.687672</v>
      </c>
      <c r="G10" s="21">
        <f t="shared" si="0"/>
        <v>92.38</v>
      </c>
      <c r="H10" s="21">
        <f t="shared" si="0"/>
        <v>213926</v>
      </c>
      <c r="I10" s="21">
        <f t="shared" si="0"/>
        <v>248</v>
      </c>
      <c r="J10" s="21">
        <f t="shared" si="0"/>
        <v>1034.072328</v>
      </c>
      <c r="K10" s="21">
        <f t="shared" si="0"/>
        <v>926.612328</v>
      </c>
      <c r="L10" s="21">
        <f t="shared" si="0"/>
        <v>107.46</v>
      </c>
      <c r="M10" s="21">
        <f t="shared" si="0"/>
        <v>676726.19</v>
      </c>
      <c r="N10" s="21">
        <f t="shared" si="0"/>
        <v>6871</v>
      </c>
      <c r="O10" s="21">
        <f t="shared" si="0"/>
        <v>1328.99</v>
      </c>
      <c r="P10" s="21">
        <f t="shared" si="0"/>
        <v>12696.26</v>
      </c>
      <c r="Q10" s="21">
        <f t="shared" si="0"/>
        <v>1328.67</v>
      </c>
      <c r="R10" s="21">
        <f t="shared" si="0"/>
        <v>0.319999999999808</v>
      </c>
      <c r="S10" s="21">
        <f t="shared" si="0"/>
        <v>4493.13</v>
      </c>
      <c r="T10" s="21">
        <f t="shared" si="0"/>
        <v>4292.97</v>
      </c>
      <c r="U10" s="21">
        <f t="shared" si="0"/>
        <v>200.16</v>
      </c>
      <c r="V10" s="21">
        <f t="shared" si="0"/>
        <v>0</v>
      </c>
      <c r="W10" s="21">
        <f t="shared" si="0"/>
        <v>104.498356164384</v>
      </c>
    </row>
    <row r="12" spans="5:13">
      <c r="E12" s="22">
        <v>1</v>
      </c>
      <c r="F12" s="23">
        <f>+E10+J10+O10</f>
        <v>4493.13</v>
      </c>
      <c r="I12" s="22">
        <v>1</v>
      </c>
      <c r="J12" s="23">
        <f>+F10+K10+Q10</f>
        <v>4292.97</v>
      </c>
      <c r="L12" s="7">
        <v>1</v>
      </c>
      <c r="M12" s="24">
        <f>+T10</f>
        <v>4292.97</v>
      </c>
    </row>
    <row r="14" spans="5:10">
      <c r="E14" s="7">
        <v>2</v>
      </c>
      <c r="F14" s="7">
        <f>+D10+I10</f>
        <v>2289</v>
      </c>
      <c r="I14" s="5">
        <v>2</v>
      </c>
      <c r="J14" s="25">
        <f>+F10</f>
        <v>2037.687672</v>
      </c>
    </row>
    <row r="15" spans="9:10">
      <c r="I15" s="5"/>
      <c r="J15" s="5"/>
    </row>
    <row r="16" spans="5:10">
      <c r="E16" s="7">
        <v>3</v>
      </c>
      <c r="F16" s="24">
        <f>+C10+H10</f>
        <v>650225.697369</v>
      </c>
      <c r="I16" s="5">
        <v>3</v>
      </c>
      <c r="J16" s="25">
        <f>+K10</f>
        <v>926.612328</v>
      </c>
    </row>
    <row r="18" spans="5:10">
      <c r="E18" s="22">
        <v>4</v>
      </c>
      <c r="F18" s="23">
        <f>+E10+J10</f>
        <v>3164.14</v>
      </c>
      <c r="I18" s="22">
        <v>4</v>
      </c>
      <c r="J18" s="23">
        <f>+F10+K10</f>
        <v>2964.3</v>
      </c>
    </row>
    <row r="20" spans="5:10">
      <c r="E20" s="7">
        <v>5</v>
      </c>
      <c r="F20" s="7">
        <f>+N10</f>
        <v>6871</v>
      </c>
      <c r="I20" s="22">
        <v>5</v>
      </c>
      <c r="J20" s="23">
        <f>+Q10</f>
        <v>1328.67</v>
      </c>
    </row>
    <row r="22" spans="5:6">
      <c r="E22" s="7">
        <v>6</v>
      </c>
      <c r="F22" s="24">
        <f>+M10</f>
        <v>676726.19</v>
      </c>
    </row>
    <row r="24" spans="5:6">
      <c r="E24" s="22">
        <v>7</v>
      </c>
      <c r="F24" s="23">
        <f>+O10</f>
        <v>1328.99</v>
      </c>
    </row>
    <row r="26" spans="3:22">
      <c r="C26" s="7">
        <f>+C10-'常规业务5-6'!C62</f>
        <v>0</v>
      </c>
      <c r="D26" s="7">
        <f>+D10-'常规业务5-6'!D62</f>
        <v>0</v>
      </c>
      <c r="E26" s="7">
        <f>+E10-'常规业务5-6'!E62</f>
        <v>0</v>
      </c>
      <c r="F26" s="7">
        <f>+F10-'常规业务5-6'!F62</f>
        <v>0</v>
      </c>
      <c r="G26" s="7">
        <f>+G10-'常规业务5-6'!G62</f>
        <v>-3.41060513164848e-13</v>
      </c>
      <c r="H26" s="7">
        <f>+H10-'常规业务5-6'!H62</f>
        <v>0</v>
      </c>
      <c r="I26" s="7">
        <f>+I10-'常规业务5-6'!I62</f>
        <v>0</v>
      </c>
      <c r="J26" s="7">
        <f>+J10-'常规业务5-6'!J62</f>
        <v>0</v>
      </c>
      <c r="K26" s="7">
        <f>+K10-'常规业务5-6'!K62</f>
        <v>0</v>
      </c>
      <c r="L26" s="7">
        <f>+L10-'常规业务5-6'!L62</f>
        <v>1.98951966012828e-13</v>
      </c>
      <c r="M26" s="7">
        <f>+M10-'常规业务5-6'!M62</f>
        <v>0</v>
      </c>
      <c r="N26" s="7">
        <f>+N10-'常规业务5-6'!N62</f>
        <v>0</v>
      </c>
      <c r="O26" s="7">
        <f>+O10-'常规业务5-6'!O62</f>
        <v>2.04636307898909e-12</v>
      </c>
      <c r="P26" s="26">
        <f>+P10-'常规业务5-6'!P62</f>
        <v>-14475.07</v>
      </c>
      <c r="Q26" s="7">
        <f>+Q10-'常规业务5-6'!Q62</f>
        <v>1.81898940354586e-12</v>
      </c>
      <c r="R26" s="7">
        <f>+R10-'常规业务5-6'!R62</f>
        <v>9.9031893796564e-14</v>
      </c>
      <c r="S26" s="7">
        <f>+S10-'常规业务5-6'!S62</f>
        <v>0</v>
      </c>
      <c r="T26" s="7">
        <f>+T10-'常规业务5-6'!T62</f>
        <v>0</v>
      </c>
      <c r="U26" s="7">
        <f>+U10-'常规业务5-6'!U62</f>
        <v>0</v>
      </c>
      <c r="V26" s="7">
        <f>+V10-'常规业务5-6'!V62</f>
        <v>0</v>
      </c>
    </row>
  </sheetData>
  <mergeCells count="26">
    <mergeCell ref="C1:L1"/>
    <mergeCell ref="M1:R1"/>
    <mergeCell ref="C4:L4"/>
    <mergeCell ref="M4:R4"/>
    <mergeCell ref="C7:L7"/>
    <mergeCell ref="M7:R7"/>
    <mergeCell ref="A1:A2"/>
    <mergeCell ref="A4:A5"/>
    <mergeCell ref="A7:A8"/>
    <mergeCell ref="B1:B2"/>
    <mergeCell ref="B4:B5"/>
    <mergeCell ref="B7:B8"/>
    <mergeCell ref="S1:S2"/>
    <mergeCell ref="S4:S5"/>
    <mergeCell ref="S7:S8"/>
    <mergeCell ref="T1:T2"/>
    <mergeCell ref="T4:T5"/>
    <mergeCell ref="T7:T8"/>
    <mergeCell ref="U1:U2"/>
    <mergeCell ref="U4:U5"/>
    <mergeCell ref="U7:U8"/>
    <mergeCell ref="V1:V2"/>
    <mergeCell ref="V4:V5"/>
    <mergeCell ref="V7:V8"/>
    <mergeCell ref="W1:W2"/>
    <mergeCell ref="W7:W8"/>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
  <sheetViews>
    <sheetView workbookViewId="0">
      <selection activeCell="B28" sqref="B28"/>
    </sheetView>
  </sheetViews>
  <sheetFormatPr defaultColWidth="79.1261261261261" defaultRowHeight="20" customHeight="1" outlineLevelCol="1"/>
  <cols>
    <col min="1" max="1" width="9.12612612612613" customWidth="1"/>
    <col min="2" max="16384" width="79.1261261261261" customWidth="1"/>
  </cols>
  <sheetData>
    <row r="1" customHeight="1" spans="1:2">
      <c r="A1" s="1" t="s">
        <v>1</v>
      </c>
      <c r="B1" s="2" t="s">
        <v>2</v>
      </c>
    </row>
    <row r="2" customHeight="1" spans="1:2">
      <c r="A2" s="1"/>
      <c r="B2" s="2"/>
    </row>
    <row r="3" customHeight="1" spans="1:2">
      <c r="A3" s="3">
        <v>4</v>
      </c>
      <c r="B3" s="4" t="s">
        <v>20</v>
      </c>
    </row>
    <row r="4" customHeight="1" spans="1:2">
      <c r="A4" s="3">
        <v>14</v>
      </c>
      <c r="B4" s="4" t="s">
        <v>30</v>
      </c>
    </row>
    <row r="5" customHeight="1" spans="1:2">
      <c r="A5" s="3">
        <v>16</v>
      </c>
      <c r="B5" s="4" t="s">
        <v>32</v>
      </c>
    </row>
    <row r="6" customHeight="1" spans="1:2">
      <c r="A6" s="3">
        <v>21</v>
      </c>
      <c r="B6" s="4" t="s">
        <v>37</v>
      </c>
    </row>
    <row r="7" customHeight="1" spans="1:2">
      <c r="A7" s="3">
        <v>22</v>
      </c>
      <c r="B7" s="4" t="s">
        <v>38</v>
      </c>
    </row>
    <row r="8" customHeight="1" spans="1:2">
      <c r="A8" s="3">
        <v>23</v>
      </c>
      <c r="B8" s="4" t="s">
        <v>39</v>
      </c>
    </row>
    <row r="9" customHeight="1" spans="1:2">
      <c r="A9" s="3">
        <v>25</v>
      </c>
      <c r="B9" s="4" t="s">
        <v>41</v>
      </c>
    </row>
    <row r="10" customHeight="1" spans="1:2">
      <c r="A10" s="3">
        <v>26</v>
      </c>
      <c r="B10" s="4" t="s">
        <v>42</v>
      </c>
    </row>
    <row r="11" customHeight="1" spans="1:2">
      <c r="A11" s="3">
        <v>33</v>
      </c>
      <c r="B11" s="4" t="s">
        <v>49</v>
      </c>
    </row>
    <row r="12" customHeight="1" spans="1:2">
      <c r="A12" s="3">
        <v>39</v>
      </c>
      <c r="B12" s="4" t="s">
        <v>55</v>
      </c>
    </row>
    <row r="13" customHeight="1" spans="1:2">
      <c r="A13" s="3">
        <v>48</v>
      </c>
      <c r="B13" s="4" t="s">
        <v>64</v>
      </c>
    </row>
    <row r="14" customHeight="1" spans="1:2">
      <c r="A14" s="3">
        <v>49</v>
      </c>
      <c r="B14" s="4" t="s">
        <v>65</v>
      </c>
    </row>
    <row r="15" customHeight="1" spans="1:2">
      <c r="A15" s="3">
        <v>52</v>
      </c>
      <c r="B15" s="4" t="s">
        <v>68</v>
      </c>
    </row>
    <row r="16" customHeight="1" spans="1:2">
      <c r="A16" s="3">
        <v>55</v>
      </c>
      <c r="B16" s="4" t="s">
        <v>71</v>
      </c>
    </row>
  </sheetData>
  <mergeCells count="2">
    <mergeCell ref="A1:A2"/>
    <mergeCell ref="B1:B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常规业务1-4</vt:lpstr>
      <vt:lpstr>常规业务5-6</vt:lpstr>
      <vt:lpstr>1简单汇总表 (2)</vt:lpstr>
      <vt:lpstr>2加工</vt:lpstr>
      <vt:lpstr>3汇总核对</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柠檬</cp:lastModifiedBy>
  <dcterms:created xsi:type="dcterms:W3CDTF">2006-09-16T00:00:00Z</dcterms:created>
  <cp:lastPrinted>2021-01-28T08:46:00Z</cp:lastPrinted>
  <dcterms:modified xsi:type="dcterms:W3CDTF">2022-12-23T04:49:42Z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2052-11.1.0.12970</vt:lpwstr>
  </property>
  <property fmtid="{D5CDD505-2E9C-101B-9397-08002B2CF9AE}" pid="3" name="ICV">
    <vt:lpwstr>607209C726224A0180319A3708EF10FC</vt:lpwstr>
  </property>
</Properties>
</file>